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dochody" sheetId="1" r:id="rId1"/>
    <sheet name="wydatki" sheetId="2" r:id="rId2"/>
    <sheet name="przych-rozch" sheetId="3" r:id="rId3"/>
    <sheet name="gosp. pom." sheetId="4" r:id="rId4"/>
    <sheet name="fundusze celowe" sheetId="5" r:id="rId5"/>
  </sheets>
  <externalReferences>
    <externalReference r:id="rId8"/>
  </externalReferences>
  <definedNames>
    <definedName name="_xlnm.Print_Area" localSheetId="3">'gosp. pom.'!$A$1:$L$17</definedName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<sst xmlns="http://schemas.openxmlformats.org/spreadsheetml/2006/main" count="957" uniqueCount="393">
  <si>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</si>
  <si>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</si>
  <si>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</si>
  <si>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</si>
  <si>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</si>
  <si>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</si>
  <si>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</si>
  <si>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</si>
  <si>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</si>
  <si>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</si>
  <si>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</si>
  <si>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</si>
  <si>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</si>
  <si>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</si>
  <si>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</si>
  <si>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</si>
  <si>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</si>
  <si>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</si>
  <si>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</si>
  <si>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</si>
  <si>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</si>
  <si>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</si>
  <si>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</si>
  <si>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</si>
  <si>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</si>
  <si>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</si>
  <si>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</si>
  <si>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</si>
  <si>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</si>
  <si>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</si>
  <si>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</si>
  <si>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</si>
  <si>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</si>
  <si>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</si>
  <si>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</si>
  <si>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</si>
  <si>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</si>
  <si>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</si>
  <si>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</si>
  <si>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</si>
  <si>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</si>
  <si>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</si>
  <si>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</si>
  <si>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</si>
  <si>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</si>
  <si>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</si>
  <si>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</si>
  <si>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</si>
  <si>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</si>
  <si>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</si>
  <si>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</si>
  <si>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</si>
  <si>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</si>
  <si>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</si>
  <si>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</si>
  <si>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</si>
  <si>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</si>
  <si>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</si>
  <si>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</si>
  <si>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</si>
  <si>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</si>
  <si>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</si>
  <si>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</si>
  <si>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</si>
  <si>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</si>
  <si>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</si>
  <si>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</si>
  <si>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</si>
  <si>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</si>
  <si>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</si>
  <si>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</si>
  <si>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</si>
  <si>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</si>
  <si>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</si>
  <si>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</si>
  <si>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</si>
  <si>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Szkoły zawodowe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</si>
  <si>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</si>
  <si>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</si>
  <si>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</si>
  <si>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</si>
  <si>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</si>
  <si>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</si>
  <si>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</si>
  <si>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</si>
  <si>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</si>
  <si>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</si>
  <si>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</si>
  <si>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</si>
  <si>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</si>
  <si>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</si>
  <si>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</si>
  <si>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</si>
  <si>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</si>
  <si>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</si>
  <si>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</si>
  <si>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</si>
  <si>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</si>
  <si>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</si>
  <si>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</si>
  <si>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</si>
  <si>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</si>
  <si>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</si>
  <si>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</si>
  <si>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</si>
  <si>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</si>
  <si>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</si>
  <si>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</si>
  <si>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</si>
  <si>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</si>
  <si>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</si>
  <si>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</si>
  <si>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</si>
  <si>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</si>
  <si>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</si>
  <si>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</si>
  <si>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</si>
  <si>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</si>
  <si>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</si>
  <si>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</si>
  <si>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</si>
  <si>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</si>
  <si>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</si>
  <si>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</si>
  <si>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</si>
  <si>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</si>
  <si>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</si>
  <si>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</si>
  <si>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</si>
  <si>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</si>
  <si>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</si>
  <si>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</si>
  <si>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</si>
  <si>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</si>
  <si>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</si>
  <si>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</si>
  <si>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</si>
  <si>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</si>
  <si>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</si>
  <si>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</si>
  <si>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</si>
  <si>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</si>
  <si>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85415</t>
  </si>
  <si>
    <t>85417</t>
  </si>
  <si>
    <t>85446</t>
  </si>
  <si>
    <t>92105</t>
  </si>
  <si>
    <t>92116</t>
  </si>
  <si>
    <t>92695</t>
  </si>
  <si>
    <t xml:space="preserve">Załącznik nr 2 do </t>
  </si>
  <si>
    <t>WYDATKI - zestawienie według działów, rozdziałów i paragrafów</t>
  </si>
  <si>
    <t>dział</t>
  </si>
  <si>
    <t>rozdział</t>
  </si>
  <si>
    <t>paragraf</t>
  </si>
  <si>
    <t>wyszczególnienie</t>
  </si>
  <si>
    <t>Plan</t>
  </si>
  <si>
    <t>Plan po korekcie</t>
  </si>
  <si>
    <t>4210</t>
  </si>
  <si>
    <t>4300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</si>
  <si>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</si>
  <si>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</si>
  <si>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</si>
  <si>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</si>
  <si>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</si>
  <si>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</si>
  <si>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</si>
  <si>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</si>
  <si>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</si>
  <si>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</si>
  <si>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</si>
  <si>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</si>
  <si>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</si>
  <si>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</si>
  <si>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</si>
  <si>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</si>
  <si>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</si>
  <si>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</si>
  <si>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</si>
  <si>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</si>
  <si>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</si>
  <si>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</si>
  <si>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</si>
  <si>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</si>
  <si>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</si>
  <si>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</si>
  <si>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</si>
  <si>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</si>
  <si>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</si>
  <si>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</si>
  <si>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</si>
  <si>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</si>
  <si>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</si>
  <si>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4530</t>
  </si>
  <si>
    <t>4580</t>
  </si>
  <si>
    <t>4610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</si>
  <si>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</si>
  <si>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</si>
  <si>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</si>
  <si>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</si>
  <si>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</si>
  <si>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</si>
  <si>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</si>
  <si>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</si>
  <si>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</si>
  <si>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</si>
  <si>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</si>
  <si>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</si>
  <si>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</si>
  <si>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</si>
  <si>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</si>
  <si>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</si>
  <si>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</si>
  <si>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</si>
  <si>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</si>
  <si>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</si>
  <si>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</si>
  <si>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</si>
  <si>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</si>
  <si>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usług zdrowotnych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</si>
  <si>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</si>
  <si>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</si>
  <si>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</si>
  <si>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</si>
  <si>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</si>
  <si>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</si>
  <si>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</si>
  <si>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2320</t>
  </si>
  <si>
    <t>2540</t>
  </si>
  <si>
    <t>2820</t>
  </si>
  <si>
    <t>3240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</si>
  <si>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</si>
  <si>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</si>
  <si>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</si>
  <si>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</si>
  <si>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</si>
  <si>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</si>
  <si>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</si>
  <si>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</si>
  <si>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</si>
  <si>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</si>
  <si>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</si>
  <si>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803</t>
  </si>
  <si>
    <t>80309</t>
  </si>
  <si>
    <t>6220</t>
  </si>
  <si>
    <t>85154</t>
  </si>
  <si>
    <t>4130</t>
  </si>
  <si>
    <t>4220</t>
  </si>
  <si>
    <t>4230</t>
  </si>
  <si>
    <t>85220</t>
  </si>
  <si>
    <t>4018</t>
  </si>
  <si>
    <t>4019</t>
  </si>
  <si>
    <t>4048</t>
  </si>
  <si>
    <t>4049</t>
  </si>
  <si>
    <t>4419</t>
  </si>
  <si>
    <t>85346</t>
  </si>
  <si>
    <t>3248</t>
  </si>
  <si>
    <t>3249</t>
  </si>
  <si>
    <t>2310</t>
  </si>
  <si>
    <t>2830</t>
  </si>
  <si>
    <t>Ogółem wydatki:</t>
  </si>
  <si>
    <t>Wydatki osobowe i pochodne od wynagrodzeń:</t>
  </si>
  <si>
    <t>dotacje:</t>
  </si>
  <si>
    <t>Wydatki na obsługę długu</t>
  </si>
  <si>
    <t>Wydatki majątkowe:</t>
  </si>
  <si>
    <t>Wpływy z tytułu pomocy finansowej udzielanej między jednostkami samorządu terytorialnego na dofinansowanie własnych zadań bieżących</t>
  </si>
  <si>
    <t>Powiatowe centrum pomocy rodzinie</t>
  </si>
  <si>
    <t>Środki na dofinansowanie własnych zadań bieżących powiatów pozyskane z innych źródeł</t>
  </si>
  <si>
    <t>Dotacja podmiotowa z budżetu dla jednostek niezaliczanych do sektora finansów publicznych</t>
  </si>
  <si>
    <t>0910</t>
  </si>
  <si>
    <t>Odsetki od nieterminowych wpłat z tytułu podatków i opłat</t>
  </si>
  <si>
    <t>Gospodarstwa pomocnicze</t>
  </si>
  <si>
    <t>Wpływy do budżetu części zysku gospodarstwa pomocniczego</t>
  </si>
  <si>
    <t>Rehabilitacja zawodowa i społeczna osób niepełnosprawnych</t>
  </si>
  <si>
    <t>Zakup usług obejmujących tłumaczenia</t>
  </si>
  <si>
    <t>Pomoc materialna dla uczniów</t>
  </si>
  <si>
    <t>Wpływy z tytułu pomocy finansowej udzielonej między jednostkami samorzadu terytorialnego na dofinansowanie własnych zadań inwestycyjnych i zakupów inwestycyjnych</t>
  </si>
  <si>
    <t>Szkolnictwo wyższe</t>
  </si>
  <si>
    <t>Pomoc materialna dla studentów i doktorantów</t>
  </si>
  <si>
    <t>Dotacje celowe otrzymane od samorządu województwa na zadania bieżące realizowane na podstawie porozumień (umów) między jednostkami samorządu terytorialnego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</si>
  <si>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</si>
  <si>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niezaliczanych do sektora finansów publicznych</t>
  </si>
  <si>
    <t>Odsetki od nieterminowych wpłat podatku VAT</t>
  </si>
  <si>
    <t>Środki na inwestycje rozpoczęte przed dniem 1 stycznia 1999 r.</t>
  </si>
  <si>
    <t>uzupełnienie subwencji ogólnej dla jednostek samorządu terytorialnego</t>
  </si>
  <si>
    <t>Szkolenia pracowników niebędących członakmi korpusu służby cywilnej</t>
  </si>
  <si>
    <t>Dotacje celowe przekazane gminie  na zadania bieżące realizowane na podstawie porozumień (umów) między jednostkami samorzadu terytorialnego</t>
  </si>
  <si>
    <t>za I półrocze 2007 roku</t>
  </si>
  <si>
    <t>01017</t>
  </si>
  <si>
    <t>Ochrona roślin</t>
  </si>
  <si>
    <t>Wykonanie</t>
  </si>
  <si>
    <t>%</t>
  </si>
  <si>
    <t>Przychody i rozchody budżetu 2007 r.</t>
  </si>
  <si>
    <t>Lp.</t>
  </si>
  <si>
    <t>Treść</t>
  </si>
  <si>
    <t xml:space="preserve">§ </t>
  </si>
  <si>
    <t xml:space="preserve">zwiększenia 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</si>
  <si>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</si>
  <si>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</si>
  <si>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</si>
  <si>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</si>
  <si>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</si>
  <si>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</si>
  <si>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</si>
  <si>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</si>
  <si>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</si>
  <si>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</si>
  <si>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</si>
  <si>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</si>
  <si>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</si>
  <si>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</si>
  <si>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</si>
  <si>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>§ 941 do § 944</t>
  </si>
  <si>
    <t>6.</t>
  </si>
  <si>
    <t>Nadwyżka budżetu z lat ubiegłych</t>
  </si>
  <si>
    <t>§ 957</t>
  </si>
  <si>
    <t>7.</t>
  </si>
  <si>
    <t>Inne papiery wartościowe</t>
  </si>
  <si>
    <t>§ 931</t>
  </si>
  <si>
    <t>8.</t>
  </si>
  <si>
    <t>Inne rozliczenia krajowe (wolne środki)</t>
  </si>
  <si>
    <t>§ 955</t>
  </si>
  <si>
    <t>Rozchody ogółem: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</si>
  <si>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</si>
  <si>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</si>
  <si>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</si>
  <si>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</si>
  <si>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bodżetu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</si>
  <si>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</si>
  <si>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</si>
  <si>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</si>
  <si>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</si>
  <si>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</si>
  <si>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</si>
  <si>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</si>
  <si>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</si>
  <si>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</si>
  <si>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zł</t>
  </si>
  <si>
    <t xml:space="preserve">Załącznik nr 3 do </t>
  </si>
  <si>
    <t xml:space="preserve">Załącznik nr 1 do </t>
  </si>
  <si>
    <t>Wyszczególnienie</t>
  </si>
  <si>
    <t>Wydatki</t>
  </si>
  <si>
    <t>ogółem</t>
  </si>
  <si>
    <t>w tym: dotacja z budżetu</t>
  </si>
  <si>
    <t>w tym: wpłata do budżetu</t>
  </si>
  <si>
    <t>I.</t>
  </si>
  <si>
    <t>Zespół Szkół Rolniczych w Złotowie</t>
  </si>
  <si>
    <t>Zespól Szkół Spożywczych Warsztaty-Młyn Szkoleniowy                                                                                     w Krajence</t>
  </si>
  <si>
    <t>Zespól Szkół Elektro - Mechanicznych Warsztaty Szkolne  w Złotowie</t>
  </si>
  <si>
    <t>Zespół Szkół Technicznych w Jastrowiu</t>
  </si>
  <si>
    <t>Gospodarstwo Pomocnicze "Domek Letniskowy" w Sławianowie przy Komendzie Powiatowej Państwowej Straży Pożarnej w Złotowie</t>
  </si>
  <si>
    <t>Ogółem</t>
  </si>
  <si>
    <t>*) w rachunku dochodów własnych - Dochody</t>
  </si>
  <si>
    <t xml:space="preserve">Załącznik nr 4 do </t>
  </si>
  <si>
    <t>Przychody</t>
  </si>
  <si>
    <t xml:space="preserve">Wykonanie </t>
  </si>
  <si>
    <t>Wykonanie planu finansowego gospodarstw pomocniczych za I półrocze 2007 roku.</t>
  </si>
  <si>
    <t xml:space="preserve">Plan </t>
  </si>
  <si>
    <t>zwiększ.</t>
  </si>
  <si>
    <t>zmn.</t>
  </si>
  <si>
    <t>Plan po zm.</t>
  </si>
  <si>
    <t>Stan środków na początek roku:</t>
  </si>
  <si>
    <t>II.</t>
  </si>
  <si>
    <r>
      <t>§</t>
    </r>
    <r>
      <rPr>
        <sz val="10"/>
        <rFont val="Arial CE"/>
        <family val="0"/>
      </rPr>
      <t xml:space="preserve"> 0690 Wpływy z różnych opłat</t>
    </r>
  </si>
  <si>
    <r>
      <t>§</t>
    </r>
    <r>
      <rPr>
        <sz val="10"/>
        <rFont val="Arial CE"/>
        <family val="0"/>
      </rPr>
      <t xml:space="preserve"> 0970 Wpływy z różnych dochodów </t>
    </r>
  </si>
  <si>
    <t>III.</t>
  </si>
  <si>
    <t>Wydatki bieżące</t>
  </si>
  <si>
    <t>§ 2440 - Dotacje przekazane z funduszy celowych na realizację zadań bieżących dla jednostek sektora finansów publicznych</t>
  </si>
  <si>
    <t>§ 2450 - Dotacje przekazane z funduszy celowych na realizację zadań bieżących dla jednostek niezaliczanyc do sektora finansów publicznych</t>
  </si>
  <si>
    <t>§ 4300 - Zakup usług pozostałych</t>
  </si>
  <si>
    <t>§ 6260 - Dotacje z funduszy celowych na finansowanie lub dofinansowanie kosztów realizacji inwestycji i zakupów inwestycyjnych jednostek sektora finansów publicznych</t>
  </si>
  <si>
    <t>Wydatki majątkowe</t>
  </si>
  <si>
    <t>§ 6120 - wydatki na zakupy inwestycyjne funduszy celowych</t>
  </si>
  <si>
    <t>IV.</t>
  </si>
  <si>
    <t>Stan środków na koniec roku</t>
  </si>
  <si>
    <t xml:space="preserve">Załącznik nr 5 do </t>
  </si>
  <si>
    <t>wykonanie</t>
  </si>
  <si>
    <r>
      <t>§</t>
    </r>
    <r>
      <rPr>
        <sz val="10"/>
        <rFont val="Arial CE"/>
        <family val="0"/>
      </rPr>
      <t xml:space="preserve"> 0920 Pozostałe odsetki </t>
    </r>
  </si>
  <si>
    <r>
      <t>§</t>
    </r>
    <r>
      <rPr>
        <sz val="10"/>
        <rFont val="Arial CE"/>
        <family val="0"/>
      </rPr>
      <t xml:space="preserve"> 0830 Wpływy z usług </t>
    </r>
  </si>
  <si>
    <t>§ 4210 - Zakup materiałów i wyposażenia</t>
  </si>
  <si>
    <t>§ 4270 - Zakup usług remontowych</t>
  </si>
  <si>
    <t xml:space="preserve">§ 4740 - Zakup materiałów papierniczych </t>
  </si>
  <si>
    <t xml:space="preserve">§ 4750 - Zakup akcesriów komputerowych </t>
  </si>
  <si>
    <t>§ 2960 - Przelewy redystrybucyjne</t>
  </si>
  <si>
    <t xml:space="preserve">Powiatowy Fundusz Gospodarki Zasobem Geodezyjnym i Kartograficznym </t>
  </si>
  <si>
    <t xml:space="preserve">Powiatowy Fundusz Ochrony Środowiska i Gospodarki Wodnej </t>
  </si>
  <si>
    <t>Wykonanie planów finansowych funduszy celowych za I półrocze 2007 roku</t>
  </si>
  <si>
    <t xml:space="preserve">Informacji o przebiego wykonania </t>
  </si>
  <si>
    <t>budżetu Powiatu Złotowskiego</t>
  </si>
  <si>
    <r>
      <t>§</t>
    </r>
    <r>
      <rPr>
        <sz val="10"/>
        <rFont val="Arial CE"/>
        <family val="0"/>
      </rPr>
      <t xml:space="preserve"> 0920 Pozostałe odsetki *</t>
    </r>
  </si>
  <si>
    <t>Inne przychody **</t>
  </si>
  <si>
    <t>*</t>
  </si>
  <si>
    <t>**</t>
  </si>
  <si>
    <t>Zwroty za mylnie zapłacaną f-rę i koszty upomnień.</t>
  </si>
  <si>
    <t>Przychód z tytułu odsetek, przekazany na rachunek podstawowy budżetu.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</si>
</sst>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%"/>
  </numFmts>
  <fonts count="2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9"/>
      <name val="Times New Roman"/>
      <family val="1"/>
    </font>
    <font>
      <b/>
      <i/>
      <sz val="10"/>
      <name val="Arial CE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 CE"/>
      <family val="0"/>
    </font>
    <font>
      <i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4" borderId="6" xfId="0" applyNumberFormat="1" applyFont="1" applyFill="1" applyBorder="1" applyAlignment="1">
      <alignment/>
    </xf>
    <xf numFmtId="0" fontId="3" fillId="4" borderId="6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4" borderId="7" xfId="0" applyNumberFormat="1" applyFont="1" applyFill="1" applyBorder="1" applyAlignment="1">
      <alignment/>
    </xf>
    <xf numFmtId="0" fontId="3" fillId="4" borderId="7" xfId="0" applyFont="1" applyFill="1" applyBorder="1" applyAlignment="1">
      <alignment wrapText="1"/>
    </xf>
    <xf numFmtId="0" fontId="3" fillId="4" borderId="8" xfId="0" applyNumberFormat="1" applyFont="1" applyFill="1" applyBorder="1" applyAlignment="1">
      <alignment/>
    </xf>
    <xf numFmtId="0" fontId="3" fillId="4" borderId="9" xfId="0" applyNumberFormat="1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3" fillId="4" borderId="11" xfId="0" applyNumberFormat="1" applyFont="1" applyFill="1" applyBorder="1" applyAlignment="1">
      <alignment/>
    </xf>
    <xf numFmtId="0" fontId="3" fillId="4" borderId="11" xfId="0" applyFont="1" applyFill="1" applyBorder="1" applyAlignment="1">
      <alignment wrapText="1"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5" borderId="14" xfId="0" applyFill="1" applyBorder="1" applyAlignment="1" quotePrefix="1">
      <alignment horizontal="center" vertical="top"/>
    </xf>
    <xf numFmtId="0" fontId="0" fillId="5" borderId="15" xfId="0" applyFill="1" applyBorder="1" applyAlignment="1">
      <alignment horizontal="center" vertical="top"/>
    </xf>
    <xf numFmtId="0" fontId="0" fillId="5" borderId="14" xfId="0" applyFill="1" applyBorder="1" applyAlignment="1">
      <alignment wrapText="1"/>
    </xf>
    <xf numFmtId="3" fontId="0" fillId="5" borderId="14" xfId="0" applyNumberFormat="1" applyFill="1" applyBorder="1" applyAlignment="1">
      <alignment/>
    </xf>
    <xf numFmtId="3" fontId="0" fillId="5" borderId="16" xfId="0" applyNumberFormat="1" applyFill="1" applyBorder="1" applyAlignment="1">
      <alignment/>
    </xf>
    <xf numFmtId="0" fontId="3" fillId="4" borderId="14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 wrapText="1"/>
    </xf>
    <xf numFmtId="0" fontId="0" fillId="5" borderId="15" xfId="0" applyFill="1" applyBorder="1" applyAlignment="1" quotePrefix="1">
      <alignment horizontal="center" vertical="top"/>
    </xf>
    <xf numFmtId="0" fontId="0" fillId="5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18" xfId="0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3" fillId="4" borderId="12" xfId="0" applyFont="1" applyFill="1" applyBorder="1" applyAlignment="1" quotePrefix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wrapText="1"/>
    </xf>
    <xf numFmtId="3" fontId="3" fillId="4" borderId="21" xfId="0" applyNumberFormat="1" applyFont="1" applyFill="1" applyBorder="1" applyAlignment="1">
      <alignment/>
    </xf>
    <xf numFmtId="3" fontId="3" fillId="4" borderId="23" xfId="0" applyNumberFormat="1" applyFont="1" applyFill="1" applyBorder="1" applyAlignment="1">
      <alignment/>
    </xf>
    <xf numFmtId="0" fontId="0" fillId="0" borderId="19" xfId="0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" fillId="4" borderId="22" xfId="0" applyFont="1" applyFill="1" applyBorder="1" applyAlignment="1" quotePrefix="1">
      <alignment horizontal="center" vertical="top"/>
    </xf>
    <xf numFmtId="0" fontId="3" fillId="4" borderId="24" xfId="0" applyFont="1" applyFill="1" applyBorder="1" applyAlignment="1" quotePrefix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wrapText="1"/>
    </xf>
    <xf numFmtId="3" fontId="3" fillId="4" borderId="14" xfId="0" applyNumberFormat="1" applyFont="1" applyFill="1" applyBorder="1" applyAlignment="1">
      <alignment/>
    </xf>
    <xf numFmtId="3" fontId="3" fillId="4" borderId="25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 quotePrefix="1">
      <alignment horizontal="center" vertical="top"/>
    </xf>
    <xf numFmtId="0" fontId="0" fillId="0" borderId="28" xfId="0" applyBorder="1" applyAlignment="1">
      <alignment vertical="center" wrapText="1"/>
    </xf>
    <xf numFmtId="3" fontId="0" fillId="0" borderId="28" xfId="0" applyNumberFormat="1" applyBorder="1" applyAlignment="1">
      <alignment/>
    </xf>
    <xf numFmtId="3" fontId="7" fillId="4" borderId="30" xfId="0" applyNumberFormat="1" applyFont="1" applyFill="1" applyBorder="1" applyAlignment="1">
      <alignment/>
    </xf>
    <xf numFmtId="3" fontId="7" fillId="4" borderId="23" xfId="0" applyNumberFormat="1" applyFont="1" applyFill="1" applyBorder="1" applyAlignment="1">
      <alignment/>
    </xf>
    <xf numFmtId="3" fontId="7" fillId="4" borderId="16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wrapText="1"/>
    </xf>
    <xf numFmtId="0" fontId="3" fillId="4" borderId="24" xfId="0" applyFont="1" applyFill="1" applyBorder="1" applyAlignment="1">
      <alignment horizontal="center" vertical="top"/>
    </xf>
    <xf numFmtId="0" fontId="0" fillId="5" borderId="14" xfId="0" applyFill="1" applyBorder="1" applyAlignment="1">
      <alignment horizontal="left" vertical="top" wrapText="1"/>
    </xf>
    <xf numFmtId="49" fontId="0" fillId="5" borderId="14" xfId="0" applyNumberFormat="1" applyFill="1" applyBorder="1" applyAlignment="1">
      <alignment horizontal="center" vertical="top"/>
    </xf>
    <xf numFmtId="165" fontId="3" fillId="4" borderId="25" xfId="0" applyNumberFormat="1" applyFont="1" applyFill="1" applyBorder="1" applyAlignment="1">
      <alignment/>
    </xf>
    <xf numFmtId="165" fontId="0" fillId="5" borderId="14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3" fillId="4" borderId="21" xfId="0" applyNumberFormat="1" applyFont="1" applyFill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3" fillId="4" borderId="14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9" fillId="0" borderId="10" xfId="0" applyNumberFormat="1" applyFont="1" applyBorder="1" applyAlignment="1">
      <alignment/>
    </xf>
    <xf numFmtId="0" fontId="9" fillId="5" borderId="10" xfId="0" applyNumberFormat="1" applyFont="1" applyFill="1" applyBorder="1" applyAlignment="1">
      <alignment/>
    </xf>
    <xf numFmtId="0" fontId="9" fillId="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9" fillId="0" borderId="7" xfId="0" applyNumberFormat="1" applyFont="1" applyBorder="1" applyAlignment="1">
      <alignment/>
    </xf>
    <xf numFmtId="49" fontId="9" fillId="5" borderId="7" xfId="0" applyNumberFormat="1" applyFont="1" applyFill="1" applyBorder="1" applyAlignment="1">
      <alignment/>
    </xf>
    <xf numFmtId="0" fontId="9" fillId="5" borderId="7" xfId="0" applyNumberFormat="1" applyFont="1" applyFill="1" applyBorder="1" applyAlignment="1">
      <alignment/>
    </xf>
    <xf numFmtId="0" fontId="9" fillId="5" borderId="7" xfId="0" applyFont="1" applyFill="1" applyBorder="1" applyAlignment="1">
      <alignment wrapText="1"/>
    </xf>
    <xf numFmtId="0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 wrapText="1"/>
    </xf>
    <xf numFmtId="0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0" fillId="0" borderId="8" xfId="0" applyNumberFormat="1" applyFont="1" applyFill="1" applyBorder="1" applyAlignment="1">
      <alignment/>
    </xf>
    <xf numFmtId="0" fontId="5" fillId="0" borderId="33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/>
    </xf>
    <xf numFmtId="0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wrapText="1"/>
    </xf>
    <xf numFmtId="0" fontId="9" fillId="0" borderId="8" xfId="0" applyNumberFormat="1" applyFont="1" applyBorder="1" applyAlignment="1">
      <alignment/>
    </xf>
    <xf numFmtId="49" fontId="9" fillId="5" borderId="9" xfId="0" applyNumberFormat="1" applyFont="1" applyFill="1" applyBorder="1" applyAlignment="1">
      <alignment/>
    </xf>
    <xf numFmtId="0" fontId="9" fillId="5" borderId="8" xfId="0" applyNumberFormat="1" applyFont="1" applyFill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0" fontId="9" fillId="5" borderId="9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5" fillId="0" borderId="34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49" fontId="0" fillId="0" borderId="34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10" fillId="5" borderId="10" xfId="0" applyNumberFormat="1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8" xfId="0" applyFont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/>
    </xf>
    <xf numFmtId="49" fontId="5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0" fontId="5" fillId="0" borderId="36" xfId="0" applyNumberFormat="1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3" fillId="4" borderId="11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3" fontId="9" fillId="5" borderId="8" xfId="0" applyNumberFormat="1" applyFont="1" applyFill="1" applyBorder="1" applyAlignment="1">
      <alignment/>
    </xf>
    <xf numFmtId="3" fontId="9" fillId="5" borderId="38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5" fillId="0" borderId="8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9" fillId="5" borderId="39" xfId="0" applyNumberFormat="1" applyFont="1" applyFill="1" applyBorder="1" applyAlignment="1">
      <alignment/>
    </xf>
    <xf numFmtId="3" fontId="9" fillId="5" borderId="40" xfId="0" applyNumberFormat="1" applyFont="1" applyFill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" fillId="4" borderId="8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10" fillId="5" borderId="8" xfId="0" applyNumberFormat="1" applyFont="1" applyFill="1" applyBorder="1" applyAlignment="1">
      <alignment/>
    </xf>
    <xf numFmtId="3" fontId="3" fillId="5" borderId="3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5" fillId="5" borderId="8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3" fillId="5" borderId="8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1" fillId="0" borderId="5" xfId="0" applyNumberFormat="1" applyFont="1" applyBorder="1" applyAlignment="1">
      <alignment horizontal="center"/>
    </xf>
    <xf numFmtId="165" fontId="3" fillId="4" borderId="11" xfId="0" applyNumberFormat="1" applyFont="1" applyFill="1" applyBorder="1" applyAlignment="1">
      <alignment/>
    </xf>
    <xf numFmtId="165" fontId="9" fillId="5" borderId="8" xfId="0" applyNumberFormat="1" applyFont="1" applyFill="1" applyBorder="1" applyAlignment="1">
      <alignment/>
    </xf>
    <xf numFmtId="165" fontId="5" fillId="0" borderId="38" xfId="0" applyNumberFormat="1" applyFont="1" applyBorder="1" applyAlignment="1">
      <alignment/>
    </xf>
    <xf numFmtId="165" fontId="9" fillId="5" borderId="39" xfId="0" applyNumberFormat="1" applyFont="1" applyFill="1" applyBorder="1" applyAlignment="1">
      <alignment/>
    </xf>
    <xf numFmtId="165" fontId="5" fillId="0" borderId="41" xfId="0" applyNumberFormat="1" applyFont="1" applyBorder="1" applyAlignment="1">
      <alignment/>
    </xf>
    <xf numFmtId="165" fontId="9" fillId="5" borderId="38" xfId="0" applyNumberFormat="1" applyFont="1" applyFill="1" applyBorder="1" applyAlignment="1">
      <alignment/>
    </xf>
    <xf numFmtId="165" fontId="5" fillId="0" borderId="42" xfId="0" applyNumberFormat="1" applyFont="1" applyBorder="1" applyAlignment="1">
      <alignment/>
    </xf>
    <xf numFmtId="165" fontId="5" fillId="0" borderId="40" xfId="0" applyNumberFormat="1" applyFont="1" applyBorder="1" applyAlignment="1">
      <alignment/>
    </xf>
    <xf numFmtId="165" fontId="3" fillId="4" borderId="8" xfId="0" applyNumberFormat="1" applyFont="1" applyFill="1" applyBorder="1" applyAlignment="1">
      <alignment/>
    </xf>
    <xf numFmtId="165" fontId="5" fillId="0" borderId="38" xfId="0" applyNumberFormat="1" applyFont="1" applyFill="1" applyBorder="1" applyAlignment="1">
      <alignment/>
    </xf>
    <xf numFmtId="165" fontId="3" fillId="4" borderId="40" xfId="0" applyNumberFormat="1" applyFont="1" applyFill="1" applyBorder="1" applyAlignment="1">
      <alignment/>
    </xf>
    <xf numFmtId="165" fontId="10" fillId="5" borderId="8" xfId="0" applyNumberFormat="1" applyFont="1" applyFill="1" applyBorder="1" applyAlignment="1">
      <alignment/>
    </xf>
    <xf numFmtId="165" fontId="3" fillId="4" borderId="39" xfId="0" applyNumberFormat="1" applyFont="1" applyFill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5" borderId="8" xfId="0" applyNumberFormat="1" applyFont="1" applyFill="1" applyBorder="1" applyAlignment="1">
      <alignment/>
    </xf>
    <xf numFmtId="165" fontId="3" fillId="5" borderId="8" xfId="0" applyNumberFormat="1" applyFont="1" applyFill="1" applyBorder="1" applyAlignment="1">
      <alignment/>
    </xf>
    <xf numFmtId="165" fontId="3" fillId="4" borderId="37" xfId="0" applyNumberFormat="1" applyFont="1" applyFill="1" applyBorder="1" applyAlignment="1">
      <alignment/>
    </xf>
    <xf numFmtId="165" fontId="5" fillId="0" borderId="36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4" fontId="3" fillId="4" borderId="25" xfId="0" applyNumberFormat="1" applyFont="1" applyFill="1" applyBorder="1" applyAlignment="1">
      <alignment/>
    </xf>
    <xf numFmtId="4" fontId="0" fillId="5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3" fillId="4" borderId="21" xfId="0" applyNumberFormat="1" applyFon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3" fillId="4" borderId="14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18" xfId="0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1" fillId="0" borderId="5" xfId="0" applyNumberFormat="1" applyFont="1" applyBorder="1" applyAlignment="1">
      <alignment horizontal="center"/>
    </xf>
    <xf numFmtId="4" fontId="3" fillId="4" borderId="11" xfId="0" applyNumberFormat="1" applyFont="1" applyFill="1" applyBorder="1" applyAlignment="1">
      <alignment/>
    </xf>
    <xf numFmtId="4" fontId="9" fillId="5" borderId="8" xfId="0" applyNumberFormat="1" applyFont="1" applyFill="1" applyBorder="1" applyAlignment="1">
      <alignment/>
    </xf>
    <xf numFmtId="4" fontId="5" fillId="0" borderId="38" xfId="0" applyNumberFormat="1" applyFont="1" applyBorder="1" applyAlignment="1">
      <alignment/>
    </xf>
    <xf numFmtId="4" fontId="9" fillId="5" borderId="39" xfId="0" applyNumberFormat="1" applyFont="1" applyFill="1" applyBorder="1" applyAlignment="1">
      <alignment/>
    </xf>
    <xf numFmtId="4" fontId="5" fillId="0" borderId="41" xfId="0" applyNumberFormat="1" applyFont="1" applyBorder="1" applyAlignment="1">
      <alignment/>
    </xf>
    <xf numFmtId="4" fontId="9" fillId="5" borderId="38" xfId="0" applyNumberFormat="1" applyFont="1" applyFill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3" fillId="4" borderId="8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4" fontId="3" fillId="4" borderId="40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4" fontId="3" fillId="4" borderId="39" xfId="0" applyNumberFormat="1" applyFont="1" applyFill="1" applyBorder="1" applyAlignment="1">
      <alignment/>
    </xf>
    <xf numFmtId="4" fontId="5" fillId="0" borderId="8" xfId="0" applyNumberFormat="1" applyFont="1" applyBorder="1" applyAlignment="1">
      <alignment/>
    </xf>
    <xf numFmtId="4" fontId="5" fillId="5" borderId="8" xfId="0" applyNumberFormat="1" applyFont="1" applyFill="1" applyBorder="1" applyAlignment="1">
      <alignment/>
    </xf>
    <xf numFmtId="4" fontId="3" fillId="5" borderId="8" xfId="0" applyNumberFormat="1" applyFont="1" applyFill="1" applyBorder="1" applyAlignment="1">
      <alignment/>
    </xf>
    <xf numFmtId="4" fontId="3" fillId="4" borderId="37" xfId="0" applyNumberFormat="1" applyFont="1" applyFill="1" applyBorder="1" applyAlignment="1">
      <alignment/>
    </xf>
    <xf numFmtId="4" fontId="5" fillId="0" borderId="36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vertical="center"/>
    </xf>
    <xf numFmtId="3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/>
    </xf>
    <xf numFmtId="3" fontId="13" fillId="0" borderId="25" xfId="0" applyNumberFormat="1" applyFont="1" applyBorder="1" applyAlignment="1">
      <alignment/>
    </xf>
    <xf numFmtId="3" fontId="15" fillId="6" borderId="25" xfId="0" applyNumberFormat="1" applyFont="1" applyFill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3" fontId="15" fillId="6" borderId="14" xfId="0" applyNumberFormat="1" applyFont="1" applyFill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3" fontId="13" fillId="0" borderId="18" xfId="0" applyNumberFormat="1" applyFont="1" applyBorder="1" applyAlignment="1">
      <alignment/>
    </xf>
    <xf numFmtId="3" fontId="15" fillId="6" borderId="18" xfId="0" applyNumberFormat="1" applyFont="1" applyFill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 vertical="center"/>
    </xf>
    <xf numFmtId="3" fontId="15" fillId="5" borderId="1" xfId="0" applyNumberFormat="1" applyFont="1" applyFill="1" applyBorder="1" applyAlignment="1">
      <alignment/>
    </xf>
    <xf numFmtId="0" fontId="15" fillId="5" borderId="1" xfId="0" applyFont="1" applyFill="1" applyBorder="1" applyAlignment="1">
      <alignment/>
    </xf>
    <xf numFmtId="0" fontId="15" fillId="0" borderId="0" xfId="0" applyFont="1" applyAlignment="1">
      <alignment/>
    </xf>
    <xf numFmtId="0" fontId="15" fillId="5" borderId="1" xfId="0" applyFont="1" applyFill="1" applyBorder="1" applyAlignment="1">
      <alignment horizontal="center"/>
    </xf>
    <xf numFmtId="165" fontId="15" fillId="5" borderId="5" xfId="0" applyNumberFormat="1" applyFont="1" applyFill="1" applyBorder="1" applyAlignment="1">
      <alignment/>
    </xf>
    <xf numFmtId="165" fontId="13" fillId="0" borderId="25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165" fontId="13" fillId="0" borderId="14" xfId="0" applyNumberFormat="1" applyFont="1" applyBorder="1" applyAlignment="1">
      <alignment vertical="center"/>
    </xf>
    <xf numFmtId="165" fontId="13" fillId="0" borderId="18" xfId="0" applyNumberFormat="1" applyFont="1" applyBorder="1" applyAlignment="1">
      <alignment/>
    </xf>
    <xf numFmtId="0" fontId="14" fillId="0" borderId="0" xfId="0" applyFont="1" applyAlignment="1">
      <alignment/>
    </xf>
    <xf numFmtId="3" fontId="13" fillId="0" borderId="25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3" fontId="13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3" fontId="15" fillId="5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left"/>
    </xf>
    <xf numFmtId="0" fontId="0" fillId="7" borderId="0" xfId="0" applyFont="1" applyFill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left" vertical="center" wrapText="1"/>
    </xf>
    <xf numFmtId="3" fontId="3" fillId="5" borderId="45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6" borderId="45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right" vertical="center"/>
    </xf>
    <xf numFmtId="3" fontId="18" fillId="6" borderId="45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3" fontId="18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165" fontId="3" fillId="5" borderId="45" xfId="0" applyNumberFormat="1" applyFont="1" applyFill="1" applyBorder="1" applyAlignment="1">
      <alignment horizontal="right" vertical="center"/>
    </xf>
    <xf numFmtId="165" fontId="5" fillId="6" borderId="45" xfId="0" applyNumberFormat="1" applyFont="1" applyFill="1" applyBorder="1" applyAlignment="1">
      <alignment horizontal="right" vertical="center"/>
    </xf>
    <xf numFmtId="165" fontId="18" fillId="6" borderId="45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vertical="center"/>
    </xf>
    <xf numFmtId="4" fontId="3" fillId="5" borderId="45" xfId="0" applyNumberFormat="1" applyFont="1" applyFill="1" applyBorder="1" applyAlignment="1">
      <alignment horizontal="right" vertical="center"/>
    </xf>
    <xf numFmtId="4" fontId="5" fillId="6" borderId="45" xfId="0" applyNumberFormat="1" applyFont="1" applyFill="1" applyBorder="1" applyAlignment="1">
      <alignment horizontal="right" vertical="center"/>
    </xf>
    <xf numFmtId="4" fontId="18" fillId="6" borderId="45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/>
    </xf>
    <xf numFmtId="165" fontId="3" fillId="0" borderId="4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5" fillId="8" borderId="5" xfId="0" applyFont="1" applyFill="1" applyBorder="1" applyAlignment="1">
      <alignment horizontal="center" vertical="center" wrapText="1"/>
    </xf>
    <xf numFmtId="4" fontId="5" fillId="8" borderId="5" xfId="0" applyNumberFormat="1" applyFont="1" applyFill="1" applyBorder="1" applyAlignment="1">
      <alignment horizontal="center" vertical="center" wrapText="1"/>
    </xf>
    <xf numFmtId="165" fontId="5" fillId="8" borderId="5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6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left"/>
    </xf>
    <xf numFmtId="3" fontId="15" fillId="5" borderId="3" xfId="0" applyNumberFormat="1" applyFont="1" applyFill="1" applyBorder="1" applyAlignment="1">
      <alignment horizontal="center" vertical="center"/>
    </xf>
    <xf numFmtId="3" fontId="15" fillId="5" borderId="5" xfId="0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0">
        <row r="1">
          <cell r="A1" t="str">
            <v>dział</v>
          </cell>
          <cell r="B1" t="str">
            <v>wyszczególnienie</v>
          </cell>
        </row>
        <row r="2">
          <cell r="A2" t="str">
            <v>010</v>
          </cell>
          <cell r="B2" t="str">
            <v>Rolnictwo i łowiectwo</v>
          </cell>
        </row>
        <row r="3">
          <cell r="A3" t="str">
            <v>020</v>
          </cell>
          <cell r="B3" t="str">
            <v>Leśnictwo</v>
          </cell>
        </row>
        <row r="4">
          <cell r="A4">
            <v>600</v>
          </cell>
          <cell r="B4" t="str">
            <v>Transport i łączność</v>
          </cell>
        </row>
        <row r="5">
          <cell r="A5">
            <v>700</v>
          </cell>
          <cell r="B5" t="str">
            <v>Gospodarka mieszkaniowa</v>
          </cell>
        </row>
        <row r="6">
          <cell r="A6">
            <v>710</v>
          </cell>
          <cell r="B6" t="str">
            <v>Działalność usługowa</v>
          </cell>
        </row>
        <row r="7">
          <cell r="A7">
            <v>750</v>
          </cell>
          <cell r="B7" t="str">
            <v>Administracja publiczna</v>
          </cell>
        </row>
        <row r="8">
          <cell r="A8">
            <v>751</v>
          </cell>
          <cell r="B8" t="str">
            <v>Urzędy naczelnych organów władzy państwowej, kontroli i ochrony prawa oraz sądownictwa</v>
          </cell>
        </row>
        <row r="9">
          <cell r="A9">
            <v>754</v>
          </cell>
          <cell r="B9" t="str">
            <v>Bezpieczeństwo publiczne i ochrona przeciwpożarowa</v>
          </cell>
        </row>
        <row r="10">
          <cell r="A10">
            <v>757</v>
          </cell>
          <cell r="B10" t="str">
            <v>Obsługa długu publicznego</v>
          </cell>
        </row>
        <row r="11">
          <cell r="A11">
            <v>758</v>
          </cell>
          <cell r="B11" t="str">
            <v>Różne rozliczenia</v>
          </cell>
        </row>
        <row r="12">
          <cell r="A12">
            <v>801</v>
          </cell>
          <cell r="B12" t="str">
            <v>Oświata i wychowanie</v>
          </cell>
        </row>
        <row r="13">
          <cell r="A13" t="str">
            <v>803</v>
          </cell>
          <cell r="B13" t="str">
            <v>Szkolnictwo wyższe</v>
          </cell>
        </row>
        <row r="14">
          <cell r="A14" t="str">
            <v>851</v>
          </cell>
          <cell r="B14" t="str">
            <v>Ochrona zdrowia</v>
          </cell>
        </row>
        <row r="15">
          <cell r="A15">
            <v>852</v>
          </cell>
          <cell r="B15" t="str">
            <v>Opieka społeczna</v>
          </cell>
        </row>
        <row r="16">
          <cell r="A16">
            <v>853</v>
          </cell>
          <cell r="B16" t="str">
            <v>Opieka społeczna</v>
          </cell>
        </row>
        <row r="17">
          <cell r="A17">
            <v>854</v>
          </cell>
          <cell r="B17" t="str">
            <v>Edukacyjna opieka wychowawcza</v>
          </cell>
        </row>
        <row r="18">
          <cell r="A18">
            <v>921</v>
          </cell>
          <cell r="B18" t="str">
            <v>Kultura i ochrona dziedzictwa narodowego</v>
          </cell>
        </row>
        <row r="19">
          <cell r="A19">
            <v>926</v>
          </cell>
          <cell r="B19" t="str">
            <v>Kultura fizyczna i sport</v>
          </cell>
        </row>
      </sheetData>
      <sheetData sheetId="21">
        <row r="1">
          <cell r="A1" t="str">
            <v>01005</v>
          </cell>
          <cell r="B1" t="str">
            <v>Prace geodezyjne - urządzeniowe na potrzeby rolnictwa</v>
          </cell>
        </row>
        <row r="2">
          <cell r="A2" t="str">
            <v>01017</v>
          </cell>
          <cell r="B2" t="str">
            <v>Ochrona roślin</v>
          </cell>
        </row>
        <row r="3">
          <cell r="A3" t="str">
            <v>01020</v>
          </cell>
          <cell r="B3" t="str">
            <v>Fundusz ochrony Gruntów</v>
          </cell>
        </row>
        <row r="4">
          <cell r="A4" t="str">
            <v>02001</v>
          </cell>
          <cell r="B4" t="str">
            <v>Gospodarka leśna</v>
          </cell>
        </row>
        <row r="5">
          <cell r="A5" t="str">
            <v>02002</v>
          </cell>
          <cell r="B5" t="str">
            <v>Nadzór nad gospodarką leśną</v>
          </cell>
        </row>
        <row r="6">
          <cell r="A6" t="str">
            <v>60013</v>
          </cell>
          <cell r="B6" t="str">
            <v>Drogi publiczne wojewódzkie</v>
          </cell>
        </row>
        <row r="7">
          <cell r="A7" t="str">
            <v>60014</v>
          </cell>
          <cell r="B7" t="str">
            <v>Drogi publiczne powiatowe</v>
          </cell>
        </row>
        <row r="8">
          <cell r="A8" t="str">
            <v>70005</v>
          </cell>
          <cell r="B8" t="str">
            <v>Gospodarka gruntami i nieruchomościami</v>
          </cell>
        </row>
        <row r="9">
          <cell r="A9" t="str">
            <v>71013</v>
          </cell>
          <cell r="B9" t="str">
            <v>Prace geodezyjne i kartograficzne (nieinwestycyjne)</v>
          </cell>
        </row>
        <row r="10">
          <cell r="A10" t="str">
            <v>71014</v>
          </cell>
          <cell r="B10" t="str">
            <v>Opracowania geodezyjne i kartograficzne</v>
          </cell>
        </row>
        <row r="11">
          <cell r="A11" t="str">
            <v>71015</v>
          </cell>
          <cell r="B11" t="str">
            <v>Nadzór budowlany</v>
          </cell>
        </row>
        <row r="12">
          <cell r="A12">
            <v>75011</v>
          </cell>
          <cell r="B12" t="str">
            <v>Urzędy wojewódzkie</v>
          </cell>
        </row>
        <row r="13">
          <cell r="A13" t="str">
            <v>75019</v>
          </cell>
          <cell r="B13" t="str">
            <v>Rady powiatów</v>
          </cell>
        </row>
        <row r="14">
          <cell r="A14" t="str">
            <v>75020</v>
          </cell>
          <cell r="B14" t="str">
            <v>Starostwa powiatowe</v>
          </cell>
        </row>
        <row r="15">
          <cell r="A15" t="str">
            <v>75045</v>
          </cell>
          <cell r="B15" t="str">
            <v>Komisje poborowe</v>
          </cell>
        </row>
        <row r="16">
          <cell r="A16" t="str">
            <v>75109</v>
          </cell>
          <cell r="B16" t="str">
            <v>Wybory do rad gminy,rad powiatów i sejmików województw,wybory wójtów,burmistrzów i prezydentów miast oraz referenda gminne,powiatowe i wojewódzkie</v>
          </cell>
        </row>
        <row r="17">
          <cell r="A17" t="str">
            <v>75404</v>
          </cell>
          <cell r="B17" t="str">
            <v>Komendy wojewódzkie Policji</v>
          </cell>
        </row>
        <row r="18">
          <cell r="A18" t="str">
            <v>75411</v>
          </cell>
          <cell r="B18" t="str">
            <v>Komendy powiatowe Państwowej Straży Pożarnej</v>
          </cell>
        </row>
        <row r="19">
          <cell r="A19" t="str">
            <v>75414</v>
          </cell>
          <cell r="B19" t="str">
            <v>Obrona cywilna </v>
          </cell>
        </row>
        <row r="20">
          <cell r="A20" t="str">
            <v>75495</v>
          </cell>
          <cell r="B20" t="str">
            <v>Pozostała działalność</v>
          </cell>
        </row>
        <row r="21">
          <cell r="A21" t="str">
            <v>75702</v>
          </cell>
          <cell r="B21" t="str">
            <v>Obsługa papierów wartościowych, kredytów i pożyczek jednostek samorządu terytorialnego</v>
          </cell>
        </row>
        <row r="22">
          <cell r="A22" t="str">
            <v>75818</v>
          </cell>
          <cell r="B22" t="str">
            <v>Rezerwy ogólne i celowe</v>
          </cell>
        </row>
        <row r="23">
          <cell r="A23" t="str">
            <v>80102</v>
          </cell>
          <cell r="B23" t="str">
            <v>Szkoły podstawowe specjalne</v>
          </cell>
        </row>
        <row r="24">
          <cell r="A24" t="str">
            <v>80111</v>
          </cell>
          <cell r="B24" t="str">
            <v>Gimnazja specjalne</v>
          </cell>
        </row>
        <row r="25">
          <cell r="A25" t="str">
            <v>80120</v>
          </cell>
          <cell r="B25" t="str">
            <v>Licea ogólnokształcące</v>
          </cell>
        </row>
        <row r="26">
          <cell r="A26" t="str">
            <v>80130</v>
          </cell>
          <cell r="B26" t="str">
            <v>Szkoły zawodowe</v>
          </cell>
        </row>
        <row r="27">
          <cell r="A27" t="str">
            <v>80134</v>
          </cell>
          <cell r="B27" t="str">
            <v>Szkoły zawodowe specjalne</v>
          </cell>
        </row>
        <row r="28">
          <cell r="A28" t="str">
            <v>80146</v>
          </cell>
          <cell r="B28" t="str">
            <v>Dokształcanie i doskonalenie nauczycieli</v>
          </cell>
        </row>
        <row r="29">
          <cell r="A29" t="str">
            <v>80195</v>
          </cell>
          <cell r="B29" t="str">
            <v>Pozostała działalność</v>
          </cell>
        </row>
        <row r="30">
          <cell r="A30" t="str">
            <v>80309</v>
          </cell>
          <cell r="B30" t="str">
            <v>Pomoc materialna dla studentów</v>
          </cell>
        </row>
        <row r="31">
          <cell r="A31" t="str">
            <v>85111</v>
          </cell>
          <cell r="B31" t="str">
            <v>Szpitale ogólne</v>
          </cell>
        </row>
        <row r="32">
          <cell r="A32" t="str">
            <v>85141</v>
          </cell>
          <cell r="B32" t="str">
            <v>Ratownictwo medyczne</v>
          </cell>
        </row>
        <row r="33">
          <cell r="A33" t="str">
            <v>85153</v>
          </cell>
          <cell r="B33" t="str">
            <v>Zwalczanie narkomanii</v>
          </cell>
        </row>
        <row r="34">
          <cell r="A34" t="str">
            <v>85154</v>
          </cell>
          <cell r="B34" t="str">
            <v>Przeciwdziałanie alkoholizmowi</v>
          </cell>
        </row>
        <row r="35">
          <cell r="A35" t="str">
            <v>85156</v>
          </cell>
          <cell r="B35" t="str">
            <v>Składki na ubezpieczenia zdrowotne oraz świadczenia dla osób nie objętych obowiązkiem ubezpieczenia zdrowotnego</v>
          </cell>
        </row>
        <row r="36">
          <cell r="A36" t="str">
            <v>85201</v>
          </cell>
          <cell r="B36" t="str">
            <v>Placówki opiekuńczo-wychowawcze</v>
          </cell>
        </row>
        <row r="37">
          <cell r="A37" t="str">
            <v>85204</v>
          </cell>
          <cell r="B37" t="str">
            <v>Rodziny zastępcze</v>
          </cell>
        </row>
        <row r="38">
          <cell r="A38" t="str">
            <v>85212</v>
          </cell>
          <cell r="B38" t="str">
            <v>Świadczenia rodzinne oraz składki na ubezpieczenia emerytalne i rentowe z ubezpieczenia społecznego</v>
          </cell>
        </row>
        <row r="39">
          <cell r="A39" t="str">
            <v>85218</v>
          </cell>
          <cell r="B39" t="str">
            <v>Powiatowe centra pomocy rodzinie</v>
          </cell>
        </row>
        <row r="40">
          <cell r="A40" t="str">
            <v>85220</v>
          </cell>
          <cell r="B40" t="str">
            <v>Jednostki specjalistycznego poradnictwa, mieszkania chronione i ośrodki interwencji kryzysowej</v>
          </cell>
        </row>
        <row r="41">
          <cell r="A41" t="str">
            <v>85226</v>
          </cell>
          <cell r="B41" t="str">
            <v>Ośrodki adopcyjno-opiekuńcze</v>
          </cell>
        </row>
        <row r="42">
          <cell r="A42" t="str">
            <v>85233</v>
          </cell>
          <cell r="B42" t="str">
            <v>Dokształcanie i doskonalenie nauczycieli</v>
          </cell>
        </row>
        <row r="43">
          <cell r="A43" t="str">
            <v>85295</v>
          </cell>
          <cell r="B43" t="str">
            <v>Pozostała działalność</v>
          </cell>
        </row>
        <row r="44">
          <cell r="A44" t="str">
            <v>85311</v>
          </cell>
          <cell r="B44" t="str">
            <v>Rehabilitacja zawodowa i społeczna osób niepełnosprawnych</v>
          </cell>
        </row>
        <row r="45">
          <cell r="A45" t="str">
            <v>85321</v>
          </cell>
          <cell r="B45" t="str">
            <v>Zespoły do spraw orzekania o stopniu niepełnosprawności</v>
          </cell>
        </row>
        <row r="46">
          <cell r="A46" t="str">
            <v>85333</v>
          </cell>
          <cell r="B46" t="str">
            <v>Powiatowe urzędy pracy</v>
          </cell>
        </row>
        <row r="47">
          <cell r="A47" t="str">
            <v>85346</v>
          </cell>
          <cell r="B47" t="str">
            <v>Dokształcanie i doskonalenie nauczycieli</v>
          </cell>
        </row>
        <row r="48">
          <cell r="A48" t="str">
            <v>85395</v>
          </cell>
          <cell r="B48" t="str">
            <v>Pozostała działalność</v>
          </cell>
        </row>
        <row r="49">
          <cell r="A49" t="str">
            <v>85403</v>
          </cell>
          <cell r="B49" t="str">
            <v>Specjalne ośrodki szkolno-wychowawcze</v>
          </cell>
        </row>
        <row r="50">
          <cell r="A50" t="str">
            <v>85406</v>
          </cell>
          <cell r="B50" t="str">
            <v>Poradnie psychologiczno-pedagogiczne oraz inne poradnie specjalistyczne</v>
          </cell>
        </row>
        <row r="51">
          <cell r="A51" t="str">
            <v>85407</v>
          </cell>
          <cell r="B51" t="str">
            <v>Placówki wychowania pozaszkolnego</v>
          </cell>
        </row>
        <row r="52">
          <cell r="A52" t="str">
            <v>85410</v>
          </cell>
          <cell r="B52" t="str">
            <v>Internaty i bursy szkolne</v>
          </cell>
        </row>
        <row r="53">
          <cell r="A53" t="str">
            <v>85412</v>
          </cell>
          <cell r="B53" t="str">
            <v>Kolonie i obozy oraz inne formy wypoczynku dzieci i młodzieży szkolnej</v>
          </cell>
        </row>
        <row r="54">
          <cell r="A54" t="str">
            <v>85415</v>
          </cell>
          <cell r="B54" t="str">
            <v>Pomoc materialna dla uczniów</v>
          </cell>
        </row>
        <row r="55">
          <cell r="A55" t="str">
            <v>85417</v>
          </cell>
          <cell r="B55" t="str">
            <v>Szkolne schroniska młodzieżowe</v>
          </cell>
        </row>
        <row r="56">
          <cell r="A56" t="str">
            <v>85446</v>
          </cell>
          <cell r="B56" t="str">
            <v>Dokształcanie i doskonalenie nauczycieli</v>
          </cell>
        </row>
        <row r="57">
          <cell r="A57" t="str">
            <v>92105</v>
          </cell>
          <cell r="B57" t="str">
            <v>Pozostałe zadania w zakresie kultury</v>
          </cell>
        </row>
        <row r="58">
          <cell r="A58" t="str">
            <v>92116</v>
          </cell>
          <cell r="B58" t="str">
            <v>Biblioteki</v>
          </cell>
        </row>
        <row r="59">
          <cell r="A59" t="str">
            <v>92695</v>
          </cell>
          <cell r="B59" t="str">
            <v>Pozostała działalność</v>
          </cell>
        </row>
      </sheetData>
      <sheetData sheetId="22">
        <row r="1">
          <cell r="A1" t="str">
            <v>paragraf</v>
          </cell>
          <cell r="B1" t="str">
            <v>wyszczególnienie</v>
          </cell>
        </row>
        <row r="2">
          <cell r="A2" t="str">
            <v>2310</v>
          </cell>
          <cell r="B2" t="str">
            <v>Dotacje celowe przekazane gminie  na zadania bieżące realizowane na podstawie porozumień (umów) między jednostkami samorzadu terytorialnego</v>
          </cell>
        </row>
        <row r="3">
          <cell r="A3" t="str">
            <v>2320</v>
          </cell>
          <cell r="B3" t="str">
            <v>Dotacje celowe przekazane dla powiatu na zadania bieżace realzowane na podstawie porozumień (umów) między jednostkami samorzadu terytorialego</v>
          </cell>
        </row>
        <row r="4">
          <cell r="A4" t="str">
            <v>2540</v>
          </cell>
          <cell r="B4" t="str">
            <v>Dotacja podmiotowa z budżetu dla niepublicznej jednostki systemu oświaty</v>
          </cell>
        </row>
        <row r="5">
          <cell r="A5" t="str">
            <v>2810</v>
          </cell>
          <cell r="B5" t="str">
            <v>Dotacja celowa z budżetu na finansowanie lub dofinansowanie zadań zleconych do realizacji fundacjom</v>
          </cell>
        </row>
        <row r="6">
          <cell r="A6" t="str">
            <v>2820</v>
          </cell>
          <cell r="B6" t="str">
            <v>Dotacja celowa z budżetu na finansowanie lub dofinansowanie zada zleconych do realizacji stowarzyszeniom</v>
          </cell>
        </row>
        <row r="7">
          <cell r="A7" t="str">
            <v>2830</v>
          </cell>
          <cell r="B7" t="str">
            <v>Dotacja celowa z budżetu na finansowanie lub dofinansowanie zadań zleconych do realizacji pozostałym jednostkom niezaliczanych do sektora finansów publicznych</v>
          </cell>
        </row>
        <row r="8">
          <cell r="A8" t="str">
            <v>3000</v>
          </cell>
          <cell r="B8" t="str">
            <v>Wpłaty jednostek na fundusz celowy</v>
          </cell>
        </row>
        <row r="9">
          <cell r="A9" t="str">
            <v>3020</v>
          </cell>
          <cell r="B9" t="str">
            <v>Nagrody i wydatki osobowe nie zaliczone do wynagrodzeń</v>
          </cell>
        </row>
        <row r="10">
          <cell r="A10" t="str">
            <v>3030</v>
          </cell>
          <cell r="B10" t="str">
            <v>Różne wydatki na rzecz osób fizycznych</v>
          </cell>
        </row>
        <row r="11">
          <cell r="A11" t="str">
            <v>3070</v>
          </cell>
          <cell r="B11" t="str">
            <v>Wydatki osobowe niezaliczane do uposażeń wypłacone żołnierzom i funkcjonariuszom</v>
          </cell>
        </row>
        <row r="12">
          <cell r="A12" t="str">
            <v>3110</v>
          </cell>
          <cell r="B12" t="str">
            <v>Świadczenia społeczne</v>
          </cell>
        </row>
        <row r="13">
          <cell r="A13" t="str">
            <v>3218</v>
          </cell>
          <cell r="B13" t="str">
            <v>Stypendia i zasiłki dla studentów</v>
          </cell>
        </row>
        <row r="14">
          <cell r="A14" t="str">
            <v>3219</v>
          </cell>
          <cell r="B14" t="str">
            <v>Stypendia i zasiłki dla studentów</v>
          </cell>
        </row>
        <row r="15">
          <cell r="A15" t="str">
            <v>3240</v>
          </cell>
          <cell r="B15" t="str">
            <v>Stypendia oraz inne formy pomocy dla uczniów</v>
          </cell>
        </row>
        <row r="16">
          <cell r="A16" t="str">
            <v>3248</v>
          </cell>
          <cell r="B16" t="str">
            <v>Stypendia oraz inne formy pomocy dla uczniów</v>
          </cell>
        </row>
        <row r="17">
          <cell r="A17" t="str">
            <v>3249</v>
          </cell>
          <cell r="B17" t="str">
            <v>Stypendia oraz inne formy pomocy dla uczniów</v>
          </cell>
        </row>
        <row r="18">
          <cell r="A18" t="str">
            <v>4010</v>
          </cell>
          <cell r="B18" t="str">
            <v>Wynagrodzenia osobowe pracowników</v>
          </cell>
        </row>
        <row r="19">
          <cell r="A19" t="str">
            <v>4010</v>
          </cell>
          <cell r="B19" t="str">
            <v>Wynagrodzenia osobowe pracowników</v>
          </cell>
        </row>
        <row r="20">
          <cell r="A20" t="str">
            <v>4018</v>
          </cell>
          <cell r="B20" t="str">
            <v>Wynagrodzenia osobowe pracowników</v>
          </cell>
        </row>
        <row r="21">
          <cell r="A21" t="str">
            <v>4019</v>
          </cell>
          <cell r="B21" t="str">
            <v>Wynagrodzenia osobowe pracowników</v>
          </cell>
        </row>
        <row r="22">
          <cell r="A22" t="str">
            <v>4020</v>
          </cell>
          <cell r="B22" t="str">
            <v>Wynagrodzenia osobowe członków korpusu służby cywilnej</v>
          </cell>
        </row>
        <row r="23">
          <cell r="A23" t="str">
            <v>4040</v>
          </cell>
          <cell r="B23" t="str">
            <v>Dodatkowe wynagrodzenie roczne</v>
          </cell>
        </row>
        <row r="24">
          <cell r="A24" t="str">
            <v>4048</v>
          </cell>
          <cell r="B24" t="str">
            <v>Dodatkowe wynagrodzenie roczne</v>
          </cell>
        </row>
        <row r="25">
          <cell r="A25" t="str">
            <v>4049</v>
          </cell>
          <cell r="B25" t="str">
            <v>Dodatkowe wynagrodzenie roczne</v>
          </cell>
        </row>
        <row r="26">
          <cell r="A26" t="str">
            <v>4050</v>
          </cell>
          <cell r="B26" t="str">
            <v>Uposażenia żołnierzy zawodowych i nadterminowych oraz funkcjonariuszy</v>
          </cell>
        </row>
        <row r="27">
          <cell r="A27" t="str">
            <v>4060</v>
          </cell>
          <cell r="B27" t="str">
            <v>Pozostałe należności żołnierzy zawodowych i nadterminowych oraz funkcjonariuszy</v>
          </cell>
        </row>
        <row r="28">
          <cell r="A28" t="str">
            <v>4070</v>
          </cell>
          <cell r="B28" t="str">
            <v>Nagrody roczne dla żołnierzy zawodowych i nadterminowych oraz funkcjonariuszy</v>
          </cell>
        </row>
        <row r="29">
          <cell r="A29" t="str">
            <v>4080</v>
          </cell>
          <cell r="B29" t="str">
            <v>Uposażenia i świadczenia pieniężne wyplacane funkcjonariuszom zwolnionym</v>
          </cell>
        </row>
        <row r="30">
          <cell r="A30" t="str">
            <v>4110</v>
          </cell>
          <cell r="B30" t="str">
            <v>Składki na ubezpieczenia społeczne</v>
          </cell>
        </row>
        <row r="31">
          <cell r="A31" t="str">
            <v>4118</v>
          </cell>
          <cell r="B31" t="str">
            <v>Składki na ubezpieczenia społeczne</v>
          </cell>
        </row>
        <row r="32">
          <cell r="A32" t="str">
            <v>4119</v>
          </cell>
          <cell r="B32" t="str">
            <v>Składki na ubezpieczenia społeczne</v>
          </cell>
        </row>
        <row r="33">
          <cell r="A33" t="str">
            <v>4120</v>
          </cell>
          <cell r="B33" t="str">
            <v>Składki na Fundusz Pracy</v>
          </cell>
        </row>
        <row r="34">
          <cell r="A34" t="str">
            <v>4128</v>
          </cell>
          <cell r="B34" t="str">
            <v>Składki na Fundusz Pracy</v>
          </cell>
        </row>
        <row r="35">
          <cell r="A35" t="str">
            <v>4129</v>
          </cell>
          <cell r="B35" t="str">
            <v>Składki na Fundusz Pracy</v>
          </cell>
        </row>
        <row r="36">
          <cell r="A36" t="str">
            <v>4130</v>
          </cell>
          <cell r="B36" t="str">
            <v>Składki na ubezpieczenie zdrowotne</v>
          </cell>
        </row>
        <row r="37">
          <cell r="A37" t="str">
            <v>4140</v>
          </cell>
          <cell r="B37" t="str">
            <v>Wpłaty na PFRON</v>
          </cell>
        </row>
        <row r="38">
          <cell r="A38" t="str">
            <v>4170</v>
          </cell>
          <cell r="B38" t="str">
            <v>Wynagrodzenia bezosobowe</v>
          </cell>
        </row>
        <row r="39">
          <cell r="A39" t="str">
            <v>4178</v>
          </cell>
          <cell r="B39" t="str">
            <v>Wynagrodzenia bezosobowe</v>
          </cell>
        </row>
        <row r="40">
          <cell r="A40" t="str">
            <v>4179</v>
          </cell>
          <cell r="B40" t="str">
            <v>Wynagrodzenia bezosobowe</v>
          </cell>
        </row>
        <row r="41">
          <cell r="A41" t="str">
            <v>4180</v>
          </cell>
          <cell r="B41" t="str">
            <v>Równoważniki pieniężne i ekwiwalenty dla żołnierzy i funkcjonariuszy</v>
          </cell>
        </row>
        <row r="42">
          <cell r="A42" t="str">
            <v>4210</v>
          </cell>
          <cell r="B42" t="str">
            <v>Zakup materiałów i wyposażenia</v>
          </cell>
        </row>
        <row r="43">
          <cell r="A43" t="str">
            <v>4218</v>
          </cell>
          <cell r="B43" t="str">
            <v>Zakup materiałów i wyposażenia</v>
          </cell>
        </row>
        <row r="44">
          <cell r="A44" t="str">
            <v>4219</v>
          </cell>
          <cell r="B44" t="str">
            <v>Zakup materiałów i wyposażenia</v>
          </cell>
        </row>
        <row r="45">
          <cell r="A45" t="str">
            <v>4220</v>
          </cell>
          <cell r="B45" t="str">
            <v>Zakup środków żwyności</v>
          </cell>
        </row>
        <row r="46">
          <cell r="A46" t="str">
            <v>4240</v>
          </cell>
          <cell r="B46" t="str">
            <v>Zakup pomocy naukowych, dydaktycznych i książek</v>
          </cell>
        </row>
        <row r="47">
          <cell r="A47" t="str">
            <v>4250</v>
          </cell>
          <cell r="B47" t="str">
            <v>Zakup sprzetu i uzbrojenia</v>
          </cell>
        </row>
        <row r="48">
          <cell r="A48" t="str">
            <v>4260</v>
          </cell>
          <cell r="B48" t="str">
            <v>Zakup energii</v>
          </cell>
        </row>
        <row r="49">
          <cell r="A49" t="str">
            <v>4270</v>
          </cell>
          <cell r="B49" t="str">
            <v>Zakup usług remontowych</v>
          </cell>
        </row>
        <row r="50">
          <cell r="A50" t="str">
            <v>4280</v>
          </cell>
          <cell r="B50" t="str">
            <v>Zakup usług zdrowotnych</v>
          </cell>
        </row>
        <row r="51">
          <cell r="A51" t="str">
            <v>4300</v>
          </cell>
          <cell r="B51" t="str">
            <v>Zakup usług pozostałych</v>
          </cell>
        </row>
        <row r="52">
          <cell r="A52" t="str">
            <v>4308</v>
          </cell>
          <cell r="B52" t="str">
            <v>Zakup usług pozostałych</v>
          </cell>
        </row>
        <row r="53">
          <cell r="A53" t="str">
            <v>4309</v>
          </cell>
          <cell r="B53" t="str">
            <v>Zakup usług pozostałych</v>
          </cell>
        </row>
        <row r="54">
          <cell r="A54" t="str">
            <v>4350</v>
          </cell>
          <cell r="B54" t="str">
            <v>Zakup dostępu do sieci internet</v>
          </cell>
        </row>
        <row r="55">
          <cell r="A55" t="str">
            <v>4360</v>
          </cell>
          <cell r="B55" t="str">
            <v>Opłaty z tytułu zakupu usług telekomunikacyjnych telefonii komórkowej</v>
          </cell>
        </row>
        <row r="56">
          <cell r="A56" t="str">
            <v>4370</v>
          </cell>
          <cell r="B56" t="str">
            <v>Opłaty z tytułu zakupu usług telekomunikacyjnych telefonii stacjonarnej</v>
          </cell>
        </row>
        <row r="57">
          <cell r="A57" t="str">
            <v>4400</v>
          </cell>
          <cell r="B57" t="str">
            <v>Opłaty czynszowe za pomieszczenia biurowe</v>
          </cell>
        </row>
        <row r="58">
          <cell r="A58" t="str">
            <v>4410</v>
          </cell>
          <cell r="B58" t="str">
            <v>Podróże służbowe krajowe</v>
          </cell>
        </row>
        <row r="59">
          <cell r="A59" t="str">
            <v>4419</v>
          </cell>
          <cell r="B59" t="str">
            <v>Podróże służbowe krajowe</v>
          </cell>
        </row>
        <row r="60">
          <cell r="A60" t="str">
            <v>4420</v>
          </cell>
          <cell r="B60" t="str">
            <v>Podróże służbowe zagraniczne</v>
          </cell>
        </row>
        <row r="61">
          <cell r="A61" t="str">
            <v>4430</v>
          </cell>
          <cell r="B61" t="str">
            <v>Różne opłaty i składki</v>
          </cell>
        </row>
        <row r="62">
          <cell r="A62" t="str">
            <v>4440</v>
          </cell>
          <cell r="B62" t="str">
            <v>Odpisy na zakladowy fundusz świadczeń socjalnych</v>
          </cell>
        </row>
        <row r="63">
          <cell r="A63" t="str">
            <v>4480</v>
          </cell>
          <cell r="B63" t="str">
            <v>Podatek od nieruchomości</v>
          </cell>
        </row>
        <row r="64">
          <cell r="A64" t="str">
            <v>4500</v>
          </cell>
          <cell r="B64" t="str">
            <v>Pozostałe podatki na rzecz budżetów jednostek samorządu terytorialnego</v>
          </cell>
        </row>
        <row r="65">
          <cell r="A65" t="str">
            <v>4510</v>
          </cell>
          <cell r="B65" t="str">
            <v>Opłaty na rzecz budżetu państwa</v>
          </cell>
        </row>
        <row r="66">
          <cell r="A66" t="str">
            <v>4510</v>
          </cell>
          <cell r="B66" t="str">
            <v>Opłaty na rzecz budżetu państwa</v>
          </cell>
        </row>
        <row r="67">
          <cell r="A67" t="str">
            <v>4520</v>
          </cell>
          <cell r="B67" t="str">
            <v>Opłaty na rzecz budżetów jednostek samorządu terytorialnego</v>
          </cell>
        </row>
        <row r="68">
          <cell r="A68" t="str">
            <v>4530</v>
          </cell>
          <cell r="B68" t="str">
            <v>Podatek od towarów i usług (VAT)</v>
          </cell>
        </row>
        <row r="69">
          <cell r="A69" t="str">
            <v>4580</v>
          </cell>
          <cell r="B69" t="str">
            <v>Pozostałe odsetki</v>
          </cell>
        </row>
        <row r="70">
          <cell r="A70" t="str">
            <v>4610</v>
          </cell>
          <cell r="B70" t="str">
            <v>Koszty postępowania sądowego i prokuratorskiego</v>
          </cell>
        </row>
        <row r="71">
          <cell r="A71" t="str">
            <v>4700</v>
          </cell>
          <cell r="B71" t="str">
            <v>Szkolenia pracowników</v>
          </cell>
        </row>
        <row r="72">
          <cell r="A72" t="str">
            <v>4740</v>
          </cell>
          <cell r="B72" t="str">
            <v>Zakup materiałów papierniczych do sprzętu drukarskego i urządzeń kserograficznych</v>
          </cell>
        </row>
        <row r="73">
          <cell r="A73" t="str">
            <v>4750</v>
          </cell>
          <cell r="B73" t="str">
            <v>Zakup akcesoriów komputerowych, w tym programów i licencji</v>
          </cell>
        </row>
        <row r="74">
          <cell r="A74" t="str">
            <v>4810</v>
          </cell>
          <cell r="B74" t="str">
            <v>Rezerwy </v>
          </cell>
        </row>
        <row r="75">
          <cell r="A75" t="str">
            <v>6050</v>
          </cell>
          <cell r="B75" t="str">
            <v>Wydatki inwestycyjne jednostek budżetowych</v>
          </cell>
        </row>
        <row r="76">
          <cell r="A76" t="str">
            <v>6059</v>
          </cell>
          <cell r="B76" t="str">
            <v>Wydatki inwestycyjne jednostek budżetowych</v>
          </cell>
        </row>
        <row r="77">
          <cell r="A77" t="str">
            <v>6060</v>
          </cell>
          <cell r="B77" t="str">
            <v>Wydatki na zakupy inwestycyjne jednostek budżetowych</v>
          </cell>
        </row>
        <row r="78">
          <cell r="A78" t="str">
            <v>6150</v>
          </cell>
          <cell r="B78" t="str">
            <v>Wpłaty jednostek na rzecz środków specjalnych na finansowanie lub dofinansowanie zadań inwestycyjnych</v>
          </cell>
        </row>
        <row r="79">
          <cell r="A79" t="str">
            <v>6220</v>
          </cell>
          <cell r="B79" t="str">
            <v>dotacje celowe z budżetu na finansowanie lub dofinansowanie kosztów realizacji inwestycji i zakupów inwestycyjnych innych jednostek sektora finansów publicznych</v>
          </cell>
        </row>
        <row r="80">
          <cell r="A80" t="str">
            <v>6630</v>
          </cell>
          <cell r="B80" t="str">
            <v>Dotacje celowe przekazane do samorzadu województwa na inwestycje i zakupy inwestycyjne realizowane na podstawie porozumień (umów) między jednostkami samorządu terytorialnego</v>
          </cell>
        </row>
        <row r="81">
          <cell r="A81" t="str">
            <v>8070</v>
          </cell>
          <cell r="B81" t="str">
            <v>Odsetki i dyskonto od krajowych skarbowych papierów wartościowych oraz od krajowych pożyczek i kredytów</v>
          </cell>
        </row>
        <row r="82">
          <cell r="A82" t="str">
            <v>9990</v>
          </cell>
          <cell r="B82" t="str">
            <v>9990</v>
          </cell>
        </row>
        <row r="83">
          <cell r="A83" t="str">
            <v>6170</v>
          </cell>
          <cell r="B83" t="str">
            <v>wpłaty z jednostek na fundusz celowy na finansowanie lu dofinansowanie zadań inwestycyjnych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workbookViewId="0" topLeftCell="A1">
      <selection activeCell="H2" sqref="H2:H3"/>
    </sheetView>
  </sheetViews>
  <sheetFormatPr defaultColWidth="9.140625" defaultRowHeight="12.75"/>
  <cols>
    <col min="1" max="1" width="5.140625" style="1" customWidth="1"/>
    <col min="2" max="2" width="6.57421875" style="2" customWidth="1"/>
    <col min="3" max="3" width="4.7109375" style="2" customWidth="1"/>
    <col min="4" max="4" width="39.28125" style="4" customWidth="1"/>
    <col min="5" max="8" width="10.281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  <col min="19" max="19" width="12.421875" style="241" customWidth="1"/>
    <col min="20" max="20" width="8.140625" style="6" customWidth="1"/>
  </cols>
  <sheetData>
    <row r="1" spans="4:9" ht="12.75">
      <c r="D1" s="3"/>
      <c r="E1" s="381"/>
      <c r="F1" s="381"/>
      <c r="G1" s="116"/>
      <c r="H1" s="116" t="s">
        <v>337</v>
      </c>
      <c r="I1" s="6"/>
    </row>
    <row r="2" spans="1:19" s="38" customFormat="1" ht="11.25">
      <c r="A2" s="36"/>
      <c r="B2" s="36"/>
      <c r="C2" s="36"/>
      <c r="D2" s="37"/>
      <c r="G2" s="131"/>
      <c r="H2" s="240" t="s">
        <v>385</v>
      </c>
      <c r="I2" s="131"/>
      <c r="J2" s="39"/>
      <c r="S2" s="242"/>
    </row>
    <row r="3" spans="1:19" s="38" customFormat="1" ht="11.25">
      <c r="A3" s="36"/>
      <c r="B3" s="36"/>
      <c r="C3" s="36"/>
      <c r="D3" s="37"/>
      <c r="G3" s="131"/>
      <c r="H3" s="240" t="s">
        <v>386</v>
      </c>
      <c r="I3" s="131"/>
      <c r="J3" s="39"/>
      <c r="S3" s="242"/>
    </row>
    <row r="4" spans="1:19" s="38" customFormat="1" ht="11.25">
      <c r="A4" s="36"/>
      <c r="B4" s="36"/>
      <c r="C4" s="36"/>
      <c r="D4" s="37"/>
      <c r="G4" s="131"/>
      <c r="H4" s="131" t="s">
        <v>285</v>
      </c>
      <c r="I4" s="131"/>
      <c r="J4" s="39"/>
      <c r="S4" s="242"/>
    </row>
    <row r="5" spans="5:6" ht="12.75">
      <c r="E5" s="5"/>
      <c r="F5" s="5"/>
    </row>
    <row r="6" spans="1:20" ht="15.75">
      <c r="A6" s="379" t="s">
        <v>0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</row>
    <row r="7" spans="1:4" ht="12.75" customHeight="1">
      <c r="A7" s="26"/>
      <c r="C7" s="380"/>
      <c r="D7" s="380"/>
    </row>
    <row r="8" spans="1:20" s="35" customFormat="1" ht="22.5">
      <c r="A8" s="29" t="s">
        <v>1</v>
      </c>
      <c r="B8" s="30" t="s">
        <v>2</v>
      </c>
      <c r="C8" s="31" t="s">
        <v>3</v>
      </c>
      <c r="D8" s="30" t="s">
        <v>4</v>
      </c>
      <c r="E8" s="32" t="s">
        <v>96</v>
      </c>
      <c r="F8" s="33" t="s">
        <v>94</v>
      </c>
      <c r="G8" s="33" t="s">
        <v>95</v>
      </c>
      <c r="H8" s="34" t="s">
        <v>97</v>
      </c>
      <c r="S8" s="243" t="s">
        <v>288</v>
      </c>
      <c r="T8" s="34" t="s">
        <v>289</v>
      </c>
    </row>
    <row r="9" spans="1:20" ht="12.75">
      <c r="A9" s="101" t="s">
        <v>5</v>
      </c>
      <c r="B9" s="102"/>
      <c r="C9" s="103"/>
      <c r="D9" s="104" t="s">
        <v>6</v>
      </c>
      <c r="E9" s="106">
        <f>E10+E12</f>
        <v>29000</v>
      </c>
      <c r="F9" s="106">
        <f>F10+F12</f>
        <v>0</v>
      </c>
      <c r="G9" s="106">
        <f>G10+G12</f>
        <v>6000</v>
      </c>
      <c r="H9" s="112">
        <f>E9+F9-G9</f>
        <v>23000</v>
      </c>
      <c r="S9" s="244">
        <f>S10+S12</f>
        <v>0</v>
      </c>
      <c r="T9" s="122">
        <f>S9/H9</f>
        <v>0</v>
      </c>
    </row>
    <row r="10" spans="1:20" ht="25.5">
      <c r="A10" s="56"/>
      <c r="B10" s="62" t="s">
        <v>7</v>
      </c>
      <c r="C10" s="63"/>
      <c r="D10" s="64" t="s">
        <v>8</v>
      </c>
      <c r="E10" s="65">
        <f>E11</f>
        <v>23000</v>
      </c>
      <c r="F10" s="65">
        <f>F11</f>
        <v>0</v>
      </c>
      <c r="G10" s="65">
        <f>G11</f>
        <v>0</v>
      </c>
      <c r="H10" s="66">
        <f aca="true" t="shared" si="0" ref="H10:H77">E10+F10-G10</f>
        <v>23000</v>
      </c>
      <c r="S10" s="245">
        <f>S11</f>
        <v>0</v>
      </c>
      <c r="T10" s="123">
        <f aca="true" t="shared" si="1" ref="T10:T75">S10/H10</f>
        <v>0</v>
      </c>
    </row>
    <row r="11" spans="1:20" ht="51">
      <c r="A11" s="56"/>
      <c r="B11" s="57"/>
      <c r="C11" s="58">
        <v>2110</v>
      </c>
      <c r="D11" s="59" t="s">
        <v>9</v>
      </c>
      <c r="E11" s="60">
        <v>23000</v>
      </c>
      <c r="F11" s="60"/>
      <c r="G11" s="60"/>
      <c r="H11" s="61">
        <f>E11+F11-G11</f>
        <v>23000</v>
      </c>
      <c r="S11" s="246"/>
      <c r="T11" s="124">
        <f t="shared" si="1"/>
        <v>0</v>
      </c>
    </row>
    <row r="12" spans="1:20" ht="12.75">
      <c r="A12" s="56"/>
      <c r="B12" s="121" t="s">
        <v>286</v>
      </c>
      <c r="C12" s="63"/>
      <c r="D12" s="64" t="s">
        <v>287</v>
      </c>
      <c r="E12" s="65">
        <f>E13</f>
        <v>6000</v>
      </c>
      <c r="F12" s="65">
        <f>F13</f>
        <v>0</v>
      </c>
      <c r="G12" s="65">
        <f>G13</f>
        <v>6000</v>
      </c>
      <c r="H12" s="66"/>
      <c r="S12" s="245">
        <f>S13</f>
        <v>0</v>
      </c>
      <c r="T12" s="123"/>
    </row>
    <row r="13" spans="1:20" ht="51">
      <c r="A13" s="81"/>
      <c r="B13" s="82"/>
      <c r="C13" s="58">
        <v>2120</v>
      </c>
      <c r="D13" s="59" t="s">
        <v>10</v>
      </c>
      <c r="E13" s="85">
        <v>6000</v>
      </c>
      <c r="F13" s="85"/>
      <c r="G13" s="85">
        <v>6000</v>
      </c>
      <c r="H13" s="86">
        <f t="shared" si="0"/>
        <v>0</v>
      </c>
      <c r="S13" s="247"/>
      <c r="T13" s="125"/>
    </row>
    <row r="14" spans="1:20" ht="12.75">
      <c r="A14" s="87" t="s">
        <v>11</v>
      </c>
      <c r="B14" s="88"/>
      <c r="C14" s="89"/>
      <c r="D14" s="90" t="s">
        <v>12</v>
      </c>
      <c r="E14" s="91">
        <f>E15</f>
        <v>0</v>
      </c>
      <c r="F14" s="91">
        <f>F15</f>
        <v>245674</v>
      </c>
      <c r="G14" s="91">
        <f>G15</f>
        <v>0</v>
      </c>
      <c r="H14" s="92">
        <f>H15</f>
        <v>245674</v>
      </c>
      <c r="S14" s="248">
        <f>S15</f>
        <v>122836.68</v>
      </c>
      <c r="T14" s="126">
        <f t="shared" si="1"/>
        <v>0.49999869746086273</v>
      </c>
    </row>
    <row r="15" spans="1:20" ht="12.75">
      <c r="A15" s="56"/>
      <c r="B15" s="62" t="s">
        <v>13</v>
      </c>
      <c r="C15" s="63"/>
      <c r="D15" s="64" t="s">
        <v>14</v>
      </c>
      <c r="E15" s="65">
        <f>E16</f>
        <v>0</v>
      </c>
      <c r="F15" s="65">
        <f>F16</f>
        <v>245674</v>
      </c>
      <c r="G15" s="65">
        <f>G16</f>
        <v>0</v>
      </c>
      <c r="H15" s="66">
        <f t="shared" si="0"/>
        <v>245674</v>
      </c>
      <c r="S15" s="245">
        <f>S16</f>
        <v>122836.68</v>
      </c>
      <c r="T15" s="123">
        <f t="shared" si="1"/>
        <v>0.49999869746086273</v>
      </c>
    </row>
    <row r="16" spans="1:20" ht="51">
      <c r="A16" s="81"/>
      <c r="B16" s="82"/>
      <c r="C16" s="93">
        <v>2460</v>
      </c>
      <c r="D16" s="84" t="s">
        <v>98</v>
      </c>
      <c r="E16" s="85"/>
      <c r="F16" s="85">
        <v>245674</v>
      </c>
      <c r="G16" s="85"/>
      <c r="H16" s="86">
        <f t="shared" si="0"/>
        <v>245674</v>
      </c>
      <c r="S16" s="247">
        <v>122836.68</v>
      </c>
      <c r="T16" s="125">
        <f t="shared" si="1"/>
        <v>0.49999869746086273</v>
      </c>
    </row>
    <row r="17" spans="1:20" ht="12.75" customHeight="1">
      <c r="A17" s="94">
        <v>600</v>
      </c>
      <c r="B17" s="88"/>
      <c r="C17" s="89"/>
      <c r="D17" s="90" t="s">
        <v>15</v>
      </c>
      <c r="E17" s="91">
        <f>E18</f>
        <v>212100</v>
      </c>
      <c r="F17" s="91">
        <f>F18</f>
        <v>520000</v>
      </c>
      <c r="G17" s="91">
        <f>G18</f>
        <v>0</v>
      </c>
      <c r="H17" s="113">
        <f t="shared" si="0"/>
        <v>732100</v>
      </c>
      <c r="S17" s="248">
        <f>S18</f>
        <v>6255.130000000001</v>
      </c>
      <c r="T17" s="126">
        <f t="shared" si="1"/>
        <v>0.008544092337112418</v>
      </c>
    </row>
    <row r="18" spans="1:20" ht="12.75">
      <c r="A18" s="56"/>
      <c r="B18" s="71">
        <v>60014</v>
      </c>
      <c r="C18" s="63"/>
      <c r="D18" s="64" t="s">
        <v>16</v>
      </c>
      <c r="E18" s="65">
        <f>SUM(E19:E23)</f>
        <v>212100</v>
      </c>
      <c r="F18" s="65">
        <f>SUM(F19:F23)</f>
        <v>520000</v>
      </c>
      <c r="G18" s="65">
        <f>SUM(G19:G23)</f>
        <v>0</v>
      </c>
      <c r="H18" s="66">
        <f t="shared" si="0"/>
        <v>732100</v>
      </c>
      <c r="S18" s="245">
        <f>SUM(S19:S23)</f>
        <v>6255.130000000001</v>
      </c>
      <c r="T18" s="123">
        <f t="shared" si="1"/>
        <v>0.008544092337112418</v>
      </c>
    </row>
    <row r="19" spans="1:20" ht="16.5" customHeight="1">
      <c r="A19" s="56"/>
      <c r="B19" s="57"/>
      <c r="C19" s="72" t="s">
        <v>17</v>
      </c>
      <c r="D19" s="59" t="s">
        <v>18</v>
      </c>
      <c r="E19" s="60">
        <v>3000</v>
      </c>
      <c r="F19" s="60"/>
      <c r="G19" s="60"/>
      <c r="H19" s="61">
        <f t="shared" si="0"/>
        <v>3000</v>
      </c>
      <c r="S19" s="246">
        <v>3181.19</v>
      </c>
      <c r="T19" s="124">
        <f t="shared" si="1"/>
        <v>1.0603966666666667</v>
      </c>
    </row>
    <row r="20" spans="1:20" ht="12.75">
      <c r="A20" s="56"/>
      <c r="B20" s="57"/>
      <c r="C20" s="73" t="s">
        <v>19</v>
      </c>
      <c r="D20" s="59" t="s">
        <v>20</v>
      </c>
      <c r="E20" s="60">
        <v>4000</v>
      </c>
      <c r="F20" s="60"/>
      <c r="G20" s="60"/>
      <c r="H20" s="61">
        <f t="shared" si="0"/>
        <v>4000</v>
      </c>
      <c r="S20" s="246">
        <v>2196</v>
      </c>
      <c r="T20" s="124">
        <f t="shared" si="1"/>
        <v>0.549</v>
      </c>
    </row>
    <row r="21" spans="1:20" ht="25.5">
      <c r="A21" s="56"/>
      <c r="B21" s="57"/>
      <c r="C21" s="73" t="s">
        <v>21</v>
      </c>
      <c r="D21" s="59" t="s">
        <v>22</v>
      </c>
      <c r="E21" s="60">
        <v>4300</v>
      </c>
      <c r="F21" s="60"/>
      <c r="G21" s="60"/>
      <c r="H21" s="61">
        <f t="shared" si="0"/>
        <v>4300</v>
      </c>
      <c r="S21" s="246"/>
      <c r="T21" s="124">
        <f t="shared" si="1"/>
        <v>0</v>
      </c>
    </row>
    <row r="22" spans="1:20" ht="12.75">
      <c r="A22" s="56"/>
      <c r="B22" s="57"/>
      <c r="C22" s="73" t="s">
        <v>23</v>
      </c>
      <c r="D22" s="59" t="s">
        <v>24</v>
      </c>
      <c r="E22" s="60">
        <v>800</v>
      </c>
      <c r="F22" s="60"/>
      <c r="G22" s="60"/>
      <c r="H22" s="61">
        <f t="shared" si="0"/>
        <v>800</v>
      </c>
      <c r="S22" s="246">
        <v>877.94</v>
      </c>
      <c r="T22" s="124">
        <f t="shared" si="1"/>
        <v>1.097425</v>
      </c>
    </row>
    <row r="23" spans="1:20" ht="51.75" customHeight="1">
      <c r="A23" s="81"/>
      <c r="B23" s="82"/>
      <c r="C23" s="83">
        <v>6300</v>
      </c>
      <c r="D23" s="84" t="s">
        <v>274</v>
      </c>
      <c r="E23" s="85">
        <v>200000</v>
      </c>
      <c r="F23" s="85">
        <v>520000</v>
      </c>
      <c r="G23" s="85"/>
      <c r="H23" s="86">
        <f t="shared" si="0"/>
        <v>720000</v>
      </c>
      <c r="S23" s="247"/>
      <c r="T23" s="125">
        <f t="shared" si="1"/>
        <v>0</v>
      </c>
    </row>
    <row r="24" spans="1:20" ht="12.75">
      <c r="A24" s="94">
        <v>700</v>
      </c>
      <c r="B24" s="88"/>
      <c r="C24" s="89"/>
      <c r="D24" s="90" t="s">
        <v>25</v>
      </c>
      <c r="E24" s="91">
        <f>E25</f>
        <v>276200</v>
      </c>
      <c r="F24" s="91">
        <f>F25</f>
        <v>40436</v>
      </c>
      <c r="G24" s="91">
        <f>G25</f>
        <v>0</v>
      </c>
      <c r="H24" s="113">
        <f t="shared" si="0"/>
        <v>316636</v>
      </c>
      <c r="S24" s="248">
        <f>S25</f>
        <v>88616.76999999999</v>
      </c>
      <c r="T24" s="126">
        <f t="shared" si="1"/>
        <v>0.27986953473389</v>
      </c>
    </row>
    <row r="25" spans="1:20" ht="12.75">
      <c r="A25" s="56"/>
      <c r="B25" s="71">
        <v>70005</v>
      </c>
      <c r="C25" s="63"/>
      <c r="D25" s="64" t="s">
        <v>26</v>
      </c>
      <c r="E25" s="65">
        <f>SUM(E26:E28)</f>
        <v>276200</v>
      </c>
      <c r="F25" s="65">
        <f>SUM(F26:F28)</f>
        <v>40436</v>
      </c>
      <c r="G25" s="65">
        <f>SUM(G26:G28)</f>
        <v>0</v>
      </c>
      <c r="H25" s="66">
        <f t="shared" si="0"/>
        <v>316636</v>
      </c>
      <c r="S25" s="245">
        <f>SUM(S26:S28)</f>
        <v>88616.76999999999</v>
      </c>
      <c r="T25" s="123">
        <f t="shared" si="1"/>
        <v>0.27986953473389</v>
      </c>
    </row>
    <row r="26" spans="1:20" ht="51">
      <c r="A26" s="56"/>
      <c r="B26" s="57"/>
      <c r="C26" s="73" t="s">
        <v>27</v>
      </c>
      <c r="D26" s="59" t="s">
        <v>28</v>
      </c>
      <c r="E26" s="60">
        <v>80000</v>
      </c>
      <c r="F26" s="60">
        <v>40436</v>
      </c>
      <c r="G26" s="60"/>
      <c r="H26" s="61">
        <f t="shared" si="0"/>
        <v>120436</v>
      </c>
      <c r="S26" s="246">
        <v>45718.18</v>
      </c>
      <c r="T26" s="124">
        <f t="shared" si="1"/>
        <v>0.37960559965458834</v>
      </c>
    </row>
    <row r="27" spans="1:20" ht="38.25">
      <c r="A27" s="56"/>
      <c r="B27" s="57"/>
      <c r="C27" s="73" t="s">
        <v>29</v>
      </c>
      <c r="D27" s="59" t="s">
        <v>30</v>
      </c>
      <c r="E27" s="60">
        <v>181200</v>
      </c>
      <c r="F27" s="60"/>
      <c r="G27" s="60"/>
      <c r="H27" s="61">
        <f t="shared" si="0"/>
        <v>181200</v>
      </c>
      <c r="S27" s="246">
        <v>36398.59</v>
      </c>
      <c r="T27" s="124">
        <f t="shared" si="1"/>
        <v>0.20087522075055186</v>
      </c>
    </row>
    <row r="28" spans="1:20" ht="51">
      <c r="A28" s="107"/>
      <c r="B28" s="108"/>
      <c r="C28" s="117">
        <v>2110</v>
      </c>
      <c r="D28" s="118" t="s">
        <v>9</v>
      </c>
      <c r="E28" s="111">
        <v>15000</v>
      </c>
      <c r="F28" s="111"/>
      <c r="G28" s="111"/>
      <c r="H28" s="115">
        <f t="shared" si="0"/>
        <v>15000</v>
      </c>
      <c r="S28" s="249">
        <v>6500</v>
      </c>
      <c r="T28" s="127">
        <f t="shared" si="1"/>
        <v>0.43333333333333335</v>
      </c>
    </row>
    <row r="29" spans="1:20" ht="12.75">
      <c r="A29" s="119">
        <v>710</v>
      </c>
      <c r="B29" s="102"/>
      <c r="C29" s="103"/>
      <c r="D29" s="104" t="s">
        <v>31</v>
      </c>
      <c r="E29" s="106">
        <f>E30+E32+E34</f>
        <v>385000</v>
      </c>
      <c r="F29" s="106">
        <f>F30+F32+F34</f>
        <v>45000</v>
      </c>
      <c r="G29" s="106">
        <f>G30+G32+G34</f>
        <v>0</v>
      </c>
      <c r="H29" s="112">
        <f t="shared" si="0"/>
        <v>430000</v>
      </c>
      <c r="S29" s="244">
        <f>S30+S32+S34</f>
        <v>301553.45</v>
      </c>
      <c r="T29" s="122">
        <f t="shared" si="1"/>
        <v>0.7012870930232559</v>
      </c>
    </row>
    <row r="30" spans="1:20" ht="25.5">
      <c r="A30" s="56"/>
      <c r="B30" s="71">
        <v>71013</v>
      </c>
      <c r="C30" s="63"/>
      <c r="D30" s="64" t="s">
        <v>32</v>
      </c>
      <c r="E30" s="65">
        <f>SUM(E31)</f>
        <v>172000</v>
      </c>
      <c r="F30" s="65">
        <f>SUM(F31)</f>
        <v>0</v>
      </c>
      <c r="G30" s="65">
        <f>SUM(G31)</f>
        <v>0</v>
      </c>
      <c r="H30" s="66">
        <f t="shared" si="0"/>
        <v>172000</v>
      </c>
      <c r="S30" s="245">
        <f>SUM(S31)</f>
        <v>146400</v>
      </c>
      <c r="T30" s="123">
        <f t="shared" si="1"/>
        <v>0.8511627906976744</v>
      </c>
    </row>
    <row r="31" spans="1:20" ht="51">
      <c r="A31" s="56"/>
      <c r="B31" s="57"/>
      <c r="C31" s="58">
        <v>2110</v>
      </c>
      <c r="D31" s="59" t="s">
        <v>9</v>
      </c>
      <c r="E31" s="60">
        <v>172000</v>
      </c>
      <c r="F31" s="60"/>
      <c r="G31" s="60"/>
      <c r="H31" s="61">
        <f t="shared" si="0"/>
        <v>172000</v>
      </c>
      <c r="S31" s="246">
        <v>146400</v>
      </c>
      <c r="T31" s="124">
        <f t="shared" si="1"/>
        <v>0.8511627906976744</v>
      </c>
    </row>
    <row r="32" spans="1:20" ht="12.75">
      <c r="A32" s="56"/>
      <c r="B32" s="71">
        <v>71014</v>
      </c>
      <c r="C32" s="63"/>
      <c r="D32" s="64" t="s">
        <v>33</v>
      </c>
      <c r="E32" s="65">
        <f>E33</f>
        <v>2000</v>
      </c>
      <c r="F32" s="65">
        <f>F33</f>
        <v>0</v>
      </c>
      <c r="G32" s="65">
        <f>G33</f>
        <v>0</v>
      </c>
      <c r="H32" s="66">
        <f t="shared" si="0"/>
        <v>2000</v>
      </c>
      <c r="S32" s="245">
        <f>S33</f>
        <v>2000</v>
      </c>
      <c r="T32" s="123">
        <f t="shared" si="1"/>
        <v>1</v>
      </c>
    </row>
    <row r="33" spans="1:20" ht="51">
      <c r="A33" s="56"/>
      <c r="B33" s="57"/>
      <c r="C33" s="58">
        <v>2110</v>
      </c>
      <c r="D33" s="59" t="s">
        <v>9</v>
      </c>
      <c r="E33" s="60">
        <v>2000</v>
      </c>
      <c r="F33" s="60"/>
      <c r="G33" s="60"/>
      <c r="H33" s="61">
        <f t="shared" si="0"/>
        <v>2000</v>
      </c>
      <c r="S33" s="246">
        <v>2000</v>
      </c>
      <c r="T33" s="124">
        <f t="shared" si="1"/>
        <v>1</v>
      </c>
    </row>
    <row r="34" spans="1:20" ht="12.75">
      <c r="A34" s="56"/>
      <c r="B34" s="71">
        <v>71015</v>
      </c>
      <c r="C34" s="63"/>
      <c r="D34" s="64" t="s">
        <v>34</v>
      </c>
      <c r="E34" s="65">
        <f>E36+E37</f>
        <v>211000</v>
      </c>
      <c r="F34" s="65">
        <f>F36+F37</f>
        <v>45000</v>
      </c>
      <c r="G34" s="65">
        <f>G36+G37</f>
        <v>0</v>
      </c>
      <c r="H34" s="66">
        <f t="shared" si="0"/>
        <v>256000</v>
      </c>
      <c r="S34" s="245">
        <f>S36+S37+S35</f>
        <v>153153.45</v>
      </c>
      <c r="T34" s="123">
        <f t="shared" si="1"/>
        <v>0.5982556640625001</v>
      </c>
    </row>
    <row r="35" spans="1:20" ht="12.75">
      <c r="A35" s="56"/>
      <c r="B35" s="57"/>
      <c r="C35" s="73" t="s">
        <v>52</v>
      </c>
      <c r="D35" s="59" t="s">
        <v>53</v>
      </c>
      <c r="E35" s="60"/>
      <c r="F35" s="60"/>
      <c r="G35" s="60"/>
      <c r="H35" s="61">
        <f t="shared" si="0"/>
        <v>0</v>
      </c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46">
        <v>167.45</v>
      </c>
      <c r="T35" s="124"/>
    </row>
    <row r="36" spans="1:20" ht="51">
      <c r="A36" s="56"/>
      <c r="B36" s="57"/>
      <c r="C36" s="58">
        <v>2110</v>
      </c>
      <c r="D36" s="59" t="s">
        <v>9</v>
      </c>
      <c r="E36" s="60">
        <v>211000</v>
      </c>
      <c r="F36" s="60">
        <v>3000</v>
      </c>
      <c r="G36" s="60"/>
      <c r="H36" s="61">
        <f t="shared" si="0"/>
        <v>214000</v>
      </c>
      <c r="I36" s="254"/>
      <c r="J36" s="254"/>
      <c r="K36" s="254"/>
      <c r="L36" s="254"/>
      <c r="M36" s="255" t="e">
        <f>SUM(J41:K41)</f>
        <v>#REF!</v>
      </c>
      <c r="N36" s="254"/>
      <c r="O36" s="254"/>
      <c r="P36" s="254"/>
      <c r="Q36" s="254"/>
      <c r="R36" s="254"/>
      <c r="S36" s="246">
        <v>112770</v>
      </c>
      <c r="T36" s="124">
        <f t="shared" si="1"/>
        <v>0.52696261682243</v>
      </c>
    </row>
    <row r="37" spans="1:20" ht="63.75">
      <c r="A37" s="81"/>
      <c r="B37" s="82"/>
      <c r="C37" s="93">
        <v>6410</v>
      </c>
      <c r="D37" s="84" t="s">
        <v>35</v>
      </c>
      <c r="E37" s="85"/>
      <c r="F37" s="85">
        <v>42000</v>
      </c>
      <c r="G37" s="85"/>
      <c r="H37" s="86">
        <f t="shared" si="0"/>
        <v>42000</v>
      </c>
      <c r="S37" s="247">
        <v>40216</v>
      </c>
      <c r="T37" s="125">
        <f t="shared" si="1"/>
        <v>0.9575238095238096</v>
      </c>
    </row>
    <row r="38" spans="1:20" ht="12.75" customHeight="1">
      <c r="A38" s="94">
        <v>750</v>
      </c>
      <c r="B38" s="88"/>
      <c r="C38" s="89"/>
      <c r="D38" s="90" t="s">
        <v>36</v>
      </c>
      <c r="E38" s="91">
        <f>E39+E42+E52</f>
        <v>318650</v>
      </c>
      <c r="F38" s="91">
        <f>F39+F42+F52</f>
        <v>20651</v>
      </c>
      <c r="G38" s="91">
        <f>G39+G42+G52</f>
        <v>0</v>
      </c>
      <c r="H38" s="113">
        <f t="shared" si="0"/>
        <v>339301</v>
      </c>
      <c r="S38" s="248">
        <f>S39+S42+S52</f>
        <v>251073.66999999998</v>
      </c>
      <c r="T38" s="126">
        <f t="shared" si="1"/>
        <v>0.7399732685727421</v>
      </c>
    </row>
    <row r="39" spans="1:20" ht="12.75">
      <c r="A39" s="56"/>
      <c r="B39" s="71">
        <v>75011</v>
      </c>
      <c r="C39" s="63"/>
      <c r="D39" s="64" t="s">
        <v>37</v>
      </c>
      <c r="E39" s="65">
        <f>SUM(E40:E41)</f>
        <v>236950</v>
      </c>
      <c r="F39" s="65">
        <f>SUM(F40:F41)</f>
        <v>0</v>
      </c>
      <c r="G39" s="65">
        <f>SUM(G40:G41)</f>
        <v>0</v>
      </c>
      <c r="H39" s="66">
        <f t="shared" si="0"/>
        <v>236950</v>
      </c>
      <c r="S39" s="245">
        <f>SUM(S40:S41)</f>
        <v>163974.36</v>
      </c>
      <c r="T39" s="123">
        <f t="shared" si="1"/>
        <v>0.6920209326862207</v>
      </c>
    </row>
    <row r="40" spans="1:20" ht="54.75" customHeight="1">
      <c r="A40" s="56"/>
      <c r="B40" s="57"/>
      <c r="C40" s="58">
        <v>2110</v>
      </c>
      <c r="D40" s="59" t="s">
        <v>9</v>
      </c>
      <c r="E40" s="60">
        <v>148800</v>
      </c>
      <c r="F40" s="60"/>
      <c r="G40" s="60"/>
      <c r="H40" s="61">
        <f t="shared" si="0"/>
        <v>148800</v>
      </c>
      <c r="I40" s="23">
        <v>6410</v>
      </c>
      <c r="J40" s="10">
        <v>2110</v>
      </c>
      <c r="K40" s="10">
        <v>2120</v>
      </c>
      <c r="L40" s="11" t="s">
        <v>38</v>
      </c>
      <c r="M40" s="12" t="s">
        <v>39</v>
      </c>
      <c r="N40" s="11" t="s">
        <v>40</v>
      </c>
      <c r="O40" s="11" t="s">
        <v>41</v>
      </c>
      <c r="P40" s="11" t="s">
        <v>42</v>
      </c>
      <c r="Q40" s="10" t="s">
        <v>43</v>
      </c>
      <c r="R40" s="13" t="s">
        <v>44</v>
      </c>
      <c r="S40" s="246">
        <v>80794</v>
      </c>
      <c r="T40" s="124">
        <f t="shared" si="1"/>
        <v>0.5429704301075269</v>
      </c>
    </row>
    <row r="41" spans="1:20" ht="51">
      <c r="A41" s="56"/>
      <c r="B41" s="57"/>
      <c r="C41" s="58">
        <v>2360</v>
      </c>
      <c r="D41" s="59" t="s">
        <v>45</v>
      </c>
      <c r="E41" s="60">
        <v>88150</v>
      </c>
      <c r="F41" s="60"/>
      <c r="G41" s="60"/>
      <c r="H41" s="61">
        <f t="shared" si="0"/>
        <v>88150</v>
      </c>
      <c r="I41" s="24">
        <f>SUM(E66)</f>
        <v>70000</v>
      </c>
      <c r="J41" s="14">
        <f>SUM(E13,E28,E31,E33,E36,E40,E53,E63,E103,E117)</f>
        <v>3023006</v>
      </c>
      <c r="K41" s="14" t="e">
        <f>SUM(#REF!,E54)</f>
        <v>#REF!</v>
      </c>
      <c r="L41" s="14">
        <f>SUM(E77)</f>
        <v>17398818</v>
      </c>
      <c r="M41" s="14">
        <f>SUM(E83)</f>
        <v>1774167</v>
      </c>
      <c r="N41" s="15">
        <f>SUM(E81)</f>
        <v>3555622</v>
      </c>
      <c r="O41" s="15">
        <f>SUM(E74)</f>
        <v>95000</v>
      </c>
      <c r="P41" s="15">
        <f>SUM(E73)</f>
        <v>5413678</v>
      </c>
      <c r="Q41" s="14" t="e">
        <f>SUM(E18,E26,E27,E41,E42,E62,E70,E85,E87,#REF!,E106,E107,E108,E122,E124,E125,E119)</f>
        <v>#REF!</v>
      </c>
      <c r="R41" s="14">
        <f>SUM(E109,E111)</f>
        <v>6366</v>
      </c>
      <c r="S41" s="246">
        <v>83180.36</v>
      </c>
      <c r="T41" s="124">
        <f t="shared" si="1"/>
        <v>0.9436229154849688</v>
      </c>
    </row>
    <row r="42" spans="1:20" ht="18" customHeight="1">
      <c r="A42" s="56"/>
      <c r="B42" s="71">
        <v>75020</v>
      </c>
      <c r="C42" s="63"/>
      <c r="D42" s="64" t="s">
        <v>46</v>
      </c>
      <c r="E42" s="65">
        <f>SUM(E43:E51)</f>
        <v>52700</v>
      </c>
      <c r="F42" s="65">
        <f>SUM(F43:F51)</f>
        <v>20651</v>
      </c>
      <c r="G42" s="65">
        <f>SUM(G43:G51)</f>
        <v>0</v>
      </c>
      <c r="H42" s="66">
        <f t="shared" si="0"/>
        <v>73351</v>
      </c>
      <c r="I42" s="25"/>
      <c r="J42" s="17" t="e">
        <f>SUM(I41:K41)</f>
        <v>#REF!</v>
      </c>
      <c r="K42" s="18"/>
      <c r="L42" s="16"/>
      <c r="M42" s="17">
        <f>SUM(L41:N41)</f>
        <v>22728607</v>
      </c>
      <c r="N42" s="18"/>
      <c r="S42" s="245">
        <f>SUM(S43:S51)</f>
        <v>61135.719999999994</v>
      </c>
      <c r="T42" s="123">
        <f t="shared" si="1"/>
        <v>0.8334681190440484</v>
      </c>
    </row>
    <row r="43" spans="1:20" ht="25.5">
      <c r="A43" s="56"/>
      <c r="B43" s="57"/>
      <c r="C43" s="73" t="s">
        <v>47</v>
      </c>
      <c r="D43" s="59" t="s">
        <v>48</v>
      </c>
      <c r="E43" s="60">
        <v>300</v>
      </c>
      <c r="F43" s="60"/>
      <c r="G43" s="60"/>
      <c r="H43" s="61">
        <f t="shared" si="0"/>
        <v>300</v>
      </c>
      <c r="I43" t="s">
        <v>49</v>
      </c>
      <c r="K43" s="19" t="e">
        <f>SUM(J42,M42,O41,P41,Q41,R41)</f>
        <v>#REF!</v>
      </c>
      <c r="L43" s="20"/>
      <c r="M43" s="20"/>
      <c r="S43" s="246">
        <v>345.84</v>
      </c>
      <c r="T43" s="124">
        <f t="shared" si="1"/>
        <v>1.1527999999999998</v>
      </c>
    </row>
    <row r="44" spans="1:20" ht="12.75">
      <c r="A44" s="56"/>
      <c r="B44" s="57"/>
      <c r="C44" s="73" t="s">
        <v>17</v>
      </c>
      <c r="D44" s="59" t="s">
        <v>18</v>
      </c>
      <c r="E44" s="60">
        <v>2300</v>
      </c>
      <c r="F44" s="60"/>
      <c r="G44" s="60"/>
      <c r="H44" s="61">
        <f t="shared" si="0"/>
        <v>2300</v>
      </c>
      <c r="S44" s="246">
        <v>1910</v>
      </c>
      <c r="T44" s="124">
        <f t="shared" si="1"/>
        <v>0.8304347826086956</v>
      </c>
    </row>
    <row r="45" spans="1:20" ht="12.75">
      <c r="A45" s="56"/>
      <c r="B45" s="57"/>
      <c r="C45" s="73" t="s">
        <v>19</v>
      </c>
      <c r="D45" s="59" t="s">
        <v>20</v>
      </c>
      <c r="E45" s="60">
        <v>100</v>
      </c>
      <c r="F45" s="60"/>
      <c r="G45" s="60"/>
      <c r="H45" s="61">
        <f t="shared" si="0"/>
        <v>100</v>
      </c>
      <c r="S45" s="246">
        <v>50.7</v>
      </c>
      <c r="T45" s="124">
        <f t="shared" si="1"/>
        <v>0.507</v>
      </c>
    </row>
    <row r="46" spans="1:20" ht="25.5" hidden="1">
      <c r="A46" s="56"/>
      <c r="B46" s="57"/>
      <c r="C46" s="73" t="s">
        <v>50</v>
      </c>
      <c r="D46" s="59" t="s">
        <v>51</v>
      </c>
      <c r="E46" s="60">
        <v>0</v>
      </c>
      <c r="F46" s="60"/>
      <c r="G46" s="60"/>
      <c r="H46" s="61">
        <f t="shared" si="0"/>
        <v>0</v>
      </c>
      <c r="S46" s="246"/>
      <c r="T46" s="124" t="e">
        <f t="shared" si="1"/>
        <v>#DIV/0!</v>
      </c>
    </row>
    <row r="47" spans="1:20" ht="12.75" hidden="1">
      <c r="A47" s="56"/>
      <c r="B47" s="57"/>
      <c r="C47" s="73" t="s">
        <v>52</v>
      </c>
      <c r="D47" s="59" t="s">
        <v>53</v>
      </c>
      <c r="E47" s="60">
        <v>0</v>
      </c>
      <c r="F47" s="60"/>
      <c r="G47" s="60"/>
      <c r="H47" s="61">
        <f t="shared" si="0"/>
        <v>0</v>
      </c>
      <c r="S47" s="246"/>
      <c r="T47" s="124" t="e">
        <f t="shared" si="1"/>
        <v>#DIV/0!</v>
      </c>
    </row>
    <row r="48" spans="1:20" ht="25.5">
      <c r="A48" s="56"/>
      <c r="B48" s="57"/>
      <c r="C48" s="72" t="s">
        <v>267</v>
      </c>
      <c r="D48" s="59" t="s">
        <v>268</v>
      </c>
      <c r="E48" s="60"/>
      <c r="F48" s="60">
        <v>151</v>
      </c>
      <c r="G48" s="60"/>
      <c r="H48" s="61">
        <f>E48+F48-G48</f>
        <v>151</v>
      </c>
      <c r="S48" s="246">
        <v>5871.26</v>
      </c>
      <c r="T48" s="124">
        <f t="shared" si="1"/>
        <v>38.88251655629139</v>
      </c>
    </row>
    <row r="49" spans="1:20" ht="12.75">
      <c r="A49" s="56"/>
      <c r="B49" s="57"/>
      <c r="C49" s="73" t="s">
        <v>52</v>
      </c>
      <c r="D49" s="59" t="s">
        <v>53</v>
      </c>
      <c r="E49" s="60"/>
      <c r="F49" s="60"/>
      <c r="G49" s="60"/>
      <c r="H49" s="61">
        <f>E49+F49-G49</f>
        <v>0</v>
      </c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46">
        <v>4671.44</v>
      </c>
      <c r="T49" s="124"/>
    </row>
    <row r="50" spans="1:20" ht="12.75">
      <c r="A50" s="56"/>
      <c r="B50" s="57"/>
      <c r="C50" s="73" t="s">
        <v>23</v>
      </c>
      <c r="D50" s="59" t="s">
        <v>24</v>
      </c>
      <c r="E50" s="60">
        <v>50000</v>
      </c>
      <c r="F50" s="60"/>
      <c r="G50" s="60"/>
      <c r="H50" s="61">
        <f t="shared" si="0"/>
        <v>50000</v>
      </c>
      <c r="S50" s="246">
        <v>38162.92</v>
      </c>
      <c r="T50" s="124">
        <f t="shared" si="1"/>
        <v>0.7632584</v>
      </c>
    </row>
    <row r="51" spans="1:20" ht="39.75" customHeight="1">
      <c r="A51" s="56"/>
      <c r="B51" s="57"/>
      <c r="C51" s="73">
        <v>2710</v>
      </c>
      <c r="D51" s="84" t="s">
        <v>263</v>
      </c>
      <c r="E51" s="60"/>
      <c r="F51" s="60">
        <v>20500</v>
      </c>
      <c r="G51" s="60"/>
      <c r="H51" s="61">
        <f>E51+F51-G51</f>
        <v>20500</v>
      </c>
      <c r="S51" s="246">
        <v>10123.56</v>
      </c>
      <c r="T51" s="124">
        <f t="shared" si="1"/>
        <v>0.4938321951219512</v>
      </c>
    </row>
    <row r="52" spans="1:20" ht="12.75">
      <c r="A52" s="56"/>
      <c r="B52" s="71">
        <v>75045</v>
      </c>
      <c r="C52" s="63"/>
      <c r="D52" s="64" t="s">
        <v>54</v>
      </c>
      <c r="E52" s="65">
        <f>SUM(E53:E54)</f>
        <v>29000</v>
      </c>
      <c r="F52" s="65">
        <f>SUM(F53:F54)</f>
        <v>0</v>
      </c>
      <c r="G52" s="65">
        <f>SUM(G53:G54)</f>
        <v>0</v>
      </c>
      <c r="H52" s="66">
        <f t="shared" si="0"/>
        <v>29000</v>
      </c>
      <c r="S52" s="245">
        <f>SUM(S53:S54)</f>
        <v>25963.59</v>
      </c>
      <c r="T52" s="123">
        <f t="shared" si="1"/>
        <v>0.8952962068965518</v>
      </c>
    </row>
    <row r="53" spans="1:20" ht="51">
      <c r="A53" s="56"/>
      <c r="B53" s="57"/>
      <c r="C53" s="58">
        <v>2110</v>
      </c>
      <c r="D53" s="59" t="s">
        <v>9</v>
      </c>
      <c r="E53" s="60">
        <v>22000</v>
      </c>
      <c r="F53" s="60"/>
      <c r="G53" s="60"/>
      <c r="H53" s="61">
        <f t="shared" si="0"/>
        <v>22000</v>
      </c>
      <c r="S53" s="246">
        <v>19883.59</v>
      </c>
      <c r="T53" s="124">
        <f t="shared" si="1"/>
        <v>0.9037995454545454</v>
      </c>
    </row>
    <row r="54" spans="1:20" ht="51">
      <c r="A54" s="81"/>
      <c r="B54" s="82"/>
      <c r="C54" s="93">
        <v>2120</v>
      </c>
      <c r="D54" s="84" t="s">
        <v>10</v>
      </c>
      <c r="E54" s="85">
        <v>7000</v>
      </c>
      <c r="F54" s="85"/>
      <c r="G54" s="85"/>
      <c r="H54" s="86">
        <f t="shared" si="0"/>
        <v>7000</v>
      </c>
      <c r="S54" s="247">
        <v>6080</v>
      </c>
      <c r="T54" s="125">
        <f t="shared" si="1"/>
        <v>0.8685714285714285</v>
      </c>
    </row>
    <row r="55" spans="1:20" ht="25.5">
      <c r="A55" s="94">
        <v>754</v>
      </c>
      <c r="B55" s="88"/>
      <c r="C55" s="89"/>
      <c r="D55" s="90" t="s">
        <v>55</v>
      </c>
      <c r="E55" s="91">
        <f>E59+E61</f>
        <v>2239633</v>
      </c>
      <c r="F55" s="91">
        <f>F59+F61</f>
        <v>161937</v>
      </c>
      <c r="G55" s="91">
        <f>G59+G61</f>
        <v>0</v>
      </c>
      <c r="H55" s="113">
        <f t="shared" si="0"/>
        <v>2401570</v>
      </c>
      <c r="S55" s="248">
        <f>S59+S61</f>
        <v>1333085.72</v>
      </c>
      <c r="T55" s="126">
        <f t="shared" si="1"/>
        <v>0.5550892624408199</v>
      </c>
    </row>
    <row r="56" spans="1:20" ht="12.75" hidden="1">
      <c r="A56" s="56"/>
      <c r="B56" s="57">
        <v>75405</v>
      </c>
      <c r="C56" s="58"/>
      <c r="D56" s="59" t="s">
        <v>56</v>
      </c>
      <c r="E56" s="60">
        <v>0</v>
      </c>
      <c r="F56" s="60"/>
      <c r="G56" s="60"/>
      <c r="H56" s="61">
        <f t="shared" si="0"/>
        <v>0</v>
      </c>
      <c r="S56" s="246"/>
      <c r="T56" s="124" t="e">
        <f t="shared" si="1"/>
        <v>#DIV/0!</v>
      </c>
    </row>
    <row r="57" spans="1:20" ht="12.75" hidden="1">
      <c r="A57" s="56"/>
      <c r="B57" s="57"/>
      <c r="C57" s="73" t="s">
        <v>57</v>
      </c>
      <c r="D57" s="59" t="s">
        <v>24</v>
      </c>
      <c r="E57" s="60">
        <v>0</v>
      </c>
      <c r="F57" s="60"/>
      <c r="G57" s="60"/>
      <c r="H57" s="61">
        <f t="shared" si="0"/>
        <v>0</v>
      </c>
      <c r="S57" s="246"/>
      <c r="T57" s="124" t="e">
        <f t="shared" si="1"/>
        <v>#DIV/0!</v>
      </c>
    </row>
    <row r="58" spans="1:20" ht="51" hidden="1">
      <c r="A58" s="56"/>
      <c r="B58" s="57"/>
      <c r="C58" s="58">
        <v>211</v>
      </c>
      <c r="D58" s="59" t="s">
        <v>9</v>
      </c>
      <c r="E58" s="60">
        <v>0</v>
      </c>
      <c r="F58" s="60"/>
      <c r="G58" s="60"/>
      <c r="H58" s="61">
        <f t="shared" si="0"/>
        <v>0</v>
      </c>
      <c r="S58" s="246"/>
      <c r="T58" s="124" t="e">
        <f t="shared" si="1"/>
        <v>#DIV/0!</v>
      </c>
    </row>
    <row r="59" spans="1:20" ht="12.75">
      <c r="A59" s="56"/>
      <c r="B59" s="71">
        <v>75405</v>
      </c>
      <c r="C59" s="63"/>
      <c r="D59" s="64" t="s">
        <v>56</v>
      </c>
      <c r="E59" s="65">
        <f>E60</f>
        <v>10000</v>
      </c>
      <c r="F59" s="65">
        <f>F60</f>
        <v>0</v>
      </c>
      <c r="G59" s="65">
        <f>G60</f>
        <v>0</v>
      </c>
      <c r="H59" s="66">
        <f t="shared" si="0"/>
        <v>10000</v>
      </c>
      <c r="S59" s="245">
        <f>S60</f>
        <v>0</v>
      </c>
      <c r="T59" s="123">
        <f t="shared" si="1"/>
        <v>0</v>
      </c>
    </row>
    <row r="60" spans="1:20" ht="38.25">
      <c r="A60" s="56"/>
      <c r="B60" s="57"/>
      <c r="C60" s="58">
        <v>6170</v>
      </c>
      <c r="D60" s="59" t="s">
        <v>58</v>
      </c>
      <c r="E60" s="60">
        <v>10000</v>
      </c>
      <c r="F60" s="60"/>
      <c r="G60" s="60"/>
      <c r="H60" s="61">
        <f t="shared" si="0"/>
        <v>10000</v>
      </c>
      <c r="S60" s="246"/>
      <c r="T60" s="124">
        <f t="shared" si="1"/>
        <v>0</v>
      </c>
    </row>
    <row r="61" spans="1:20" ht="25.5">
      <c r="A61" s="56"/>
      <c r="B61" s="71">
        <v>75411</v>
      </c>
      <c r="C61" s="63"/>
      <c r="D61" s="64" t="s">
        <v>59</v>
      </c>
      <c r="E61" s="65">
        <f>SUM(E62:E66)</f>
        <v>2229633</v>
      </c>
      <c r="F61" s="65">
        <f>SUM(F62:F66)</f>
        <v>161937</v>
      </c>
      <c r="G61" s="65">
        <f>SUM(G62:G66)</f>
        <v>0</v>
      </c>
      <c r="H61" s="66">
        <f t="shared" si="0"/>
        <v>2391570</v>
      </c>
      <c r="S61" s="245">
        <f>SUM(S62:S66)</f>
        <v>1333085.72</v>
      </c>
      <c r="T61" s="123">
        <f t="shared" si="1"/>
        <v>0.5574102869663025</v>
      </c>
    </row>
    <row r="62" spans="1:20" ht="12.75">
      <c r="A62" s="56"/>
      <c r="B62" s="57"/>
      <c r="C62" s="73" t="s">
        <v>23</v>
      </c>
      <c r="D62" s="59" t="s">
        <v>24</v>
      </c>
      <c r="E62" s="60">
        <v>1000</v>
      </c>
      <c r="F62" s="60"/>
      <c r="G62" s="60"/>
      <c r="H62" s="61">
        <f t="shared" si="0"/>
        <v>1000</v>
      </c>
      <c r="S62" s="246">
        <v>1123.17</v>
      </c>
      <c r="T62" s="124">
        <f t="shared" si="1"/>
        <v>1.12317</v>
      </c>
    </row>
    <row r="63" spans="1:20" ht="51">
      <c r="A63" s="56"/>
      <c r="B63" s="57"/>
      <c r="C63" s="58">
        <v>2110</v>
      </c>
      <c r="D63" s="59" t="s">
        <v>9</v>
      </c>
      <c r="E63" s="60">
        <v>2148633</v>
      </c>
      <c r="F63" s="60">
        <v>161937</v>
      </c>
      <c r="G63" s="60"/>
      <c r="H63" s="61">
        <f t="shared" si="0"/>
        <v>2310570</v>
      </c>
      <c r="S63" s="246">
        <v>1328000</v>
      </c>
      <c r="T63" s="124">
        <f t="shared" si="1"/>
        <v>0.5747499534746837</v>
      </c>
    </row>
    <row r="64" spans="1:20" ht="25.5">
      <c r="A64" s="56"/>
      <c r="B64" s="57"/>
      <c r="C64" s="58">
        <v>2380</v>
      </c>
      <c r="D64" s="59" t="s">
        <v>270</v>
      </c>
      <c r="E64" s="60"/>
      <c r="F64" s="60"/>
      <c r="G64" s="60"/>
      <c r="H64" s="61">
        <f t="shared" si="0"/>
        <v>0</v>
      </c>
      <c r="S64" s="246">
        <v>1.95</v>
      </c>
      <c r="T64" s="124"/>
    </row>
    <row r="65" spans="1:20" ht="39.75" customHeight="1">
      <c r="A65" s="56"/>
      <c r="B65" s="57"/>
      <c r="C65" s="58">
        <v>2710</v>
      </c>
      <c r="D65" s="59" t="s">
        <v>60</v>
      </c>
      <c r="E65" s="60">
        <v>10000</v>
      </c>
      <c r="F65" s="60"/>
      <c r="G65" s="60"/>
      <c r="H65" s="61">
        <f t="shared" si="0"/>
        <v>10000</v>
      </c>
      <c r="S65" s="246"/>
      <c r="T65" s="124">
        <f t="shared" si="1"/>
        <v>0</v>
      </c>
    </row>
    <row r="66" spans="1:20" ht="63.75">
      <c r="A66" s="81"/>
      <c r="B66" s="82"/>
      <c r="C66" s="93">
        <v>6410</v>
      </c>
      <c r="D66" s="84" t="s">
        <v>35</v>
      </c>
      <c r="E66" s="85">
        <v>70000</v>
      </c>
      <c r="F66" s="85"/>
      <c r="G66" s="85"/>
      <c r="H66" s="86">
        <f t="shared" si="0"/>
        <v>70000</v>
      </c>
      <c r="S66" s="247">
        <v>3960.6</v>
      </c>
      <c r="T66" s="125">
        <f t="shared" si="1"/>
        <v>0.05658</v>
      </c>
    </row>
    <row r="67" spans="1:20" ht="12.75" hidden="1">
      <c r="A67" s="55"/>
      <c r="B67" s="95">
        <v>75414</v>
      </c>
      <c r="C67" s="96"/>
      <c r="D67" s="97" t="s">
        <v>61</v>
      </c>
      <c r="E67" s="98">
        <v>0</v>
      </c>
      <c r="F67" s="98"/>
      <c r="G67" s="98"/>
      <c r="H67" s="99">
        <f t="shared" si="0"/>
        <v>0</v>
      </c>
      <c r="S67" s="250"/>
      <c r="T67" s="128" t="e">
        <f t="shared" si="1"/>
        <v>#DIV/0!</v>
      </c>
    </row>
    <row r="68" spans="1:20" ht="63.75" hidden="1">
      <c r="A68" s="56"/>
      <c r="B68" s="57"/>
      <c r="C68" s="58">
        <v>6410</v>
      </c>
      <c r="D68" s="59" t="s">
        <v>35</v>
      </c>
      <c r="E68" s="60">
        <v>0</v>
      </c>
      <c r="F68" s="60"/>
      <c r="G68" s="60"/>
      <c r="H68" s="61">
        <f t="shared" si="0"/>
        <v>0</v>
      </c>
      <c r="S68" s="246"/>
      <c r="T68" s="124" t="e">
        <f t="shared" si="1"/>
        <v>#DIV/0!</v>
      </c>
    </row>
    <row r="69" spans="1:20" ht="51">
      <c r="A69" s="70">
        <v>756</v>
      </c>
      <c r="B69" s="67"/>
      <c r="C69" s="68"/>
      <c r="D69" s="69" t="s">
        <v>62</v>
      </c>
      <c r="E69" s="105">
        <f>E70+E72</f>
        <v>6600548</v>
      </c>
      <c r="F69" s="105">
        <f>F70+F72</f>
        <v>0</v>
      </c>
      <c r="G69" s="105">
        <f>G70+G72</f>
        <v>69300</v>
      </c>
      <c r="H69" s="114">
        <f t="shared" si="0"/>
        <v>6531248</v>
      </c>
      <c r="S69" s="251">
        <f>S70+S72</f>
        <v>3402091.32</v>
      </c>
      <c r="T69" s="129">
        <f t="shared" si="1"/>
        <v>0.52089452429306</v>
      </c>
    </row>
    <row r="70" spans="1:20" ht="38.25">
      <c r="A70" s="56"/>
      <c r="B70" s="71">
        <v>75618</v>
      </c>
      <c r="C70" s="63"/>
      <c r="D70" s="64" t="s">
        <v>63</v>
      </c>
      <c r="E70" s="65">
        <f>E71</f>
        <v>1091870</v>
      </c>
      <c r="F70" s="65">
        <f>F71</f>
        <v>0</v>
      </c>
      <c r="G70" s="65">
        <f>G71</f>
        <v>0</v>
      </c>
      <c r="H70" s="66">
        <f t="shared" si="0"/>
        <v>1091870</v>
      </c>
      <c r="S70" s="245">
        <f>S71</f>
        <v>736724</v>
      </c>
      <c r="T70" s="123">
        <f t="shared" si="1"/>
        <v>0.6747360033703647</v>
      </c>
    </row>
    <row r="71" spans="1:20" ht="12.75">
      <c r="A71" s="56"/>
      <c r="B71" s="57"/>
      <c r="C71" s="73" t="s">
        <v>64</v>
      </c>
      <c r="D71" s="59" t="s">
        <v>65</v>
      </c>
      <c r="E71" s="60">
        <v>1091870</v>
      </c>
      <c r="F71" s="60"/>
      <c r="G71" s="60"/>
      <c r="H71" s="61">
        <f t="shared" si="0"/>
        <v>1091870</v>
      </c>
      <c r="S71" s="246">
        <v>736724</v>
      </c>
      <c r="T71" s="124">
        <f t="shared" si="1"/>
        <v>0.6747360033703647</v>
      </c>
    </row>
    <row r="72" spans="1:20" ht="25.5">
      <c r="A72" s="56"/>
      <c r="B72" s="71">
        <v>75622</v>
      </c>
      <c r="C72" s="63"/>
      <c r="D72" s="64" t="s">
        <v>66</v>
      </c>
      <c r="E72" s="65">
        <f>SUM(E73:E74)</f>
        <v>5508678</v>
      </c>
      <c r="F72" s="65">
        <f>SUM(F73:F74)</f>
        <v>0</v>
      </c>
      <c r="G72" s="65">
        <f>SUM(G73:G74)</f>
        <v>69300</v>
      </c>
      <c r="H72" s="66">
        <f t="shared" si="0"/>
        <v>5439378</v>
      </c>
      <c r="S72" s="245">
        <f>SUM(S73:S74)</f>
        <v>2665367.32</v>
      </c>
      <c r="T72" s="123">
        <f t="shared" si="1"/>
        <v>0.4900132551920458</v>
      </c>
    </row>
    <row r="73" spans="1:20" ht="12.75">
      <c r="A73" s="56"/>
      <c r="B73" s="57"/>
      <c r="C73" s="73" t="s">
        <v>67</v>
      </c>
      <c r="D73" s="59" t="s">
        <v>68</v>
      </c>
      <c r="E73" s="60">
        <v>5413678</v>
      </c>
      <c r="F73" s="60"/>
      <c r="G73" s="60">
        <v>69300</v>
      </c>
      <c r="H73" s="61">
        <f t="shared" si="0"/>
        <v>5344378</v>
      </c>
      <c r="S73" s="246">
        <v>2601067</v>
      </c>
      <c r="T73" s="124">
        <f t="shared" si="1"/>
        <v>0.48669218382382384</v>
      </c>
    </row>
    <row r="74" spans="1:20" ht="12.75">
      <c r="A74" s="81"/>
      <c r="B74" s="82"/>
      <c r="C74" s="83" t="s">
        <v>69</v>
      </c>
      <c r="D74" s="84" t="s">
        <v>70</v>
      </c>
      <c r="E74" s="85">
        <v>95000</v>
      </c>
      <c r="F74" s="85"/>
      <c r="G74" s="85"/>
      <c r="H74" s="86">
        <f t="shared" si="0"/>
        <v>95000</v>
      </c>
      <c r="S74" s="247">
        <v>64300.32</v>
      </c>
      <c r="T74" s="125">
        <f t="shared" si="1"/>
        <v>0.6768454736842106</v>
      </c>
    </row>
    <row r="75" spans="1:20" ht="12.75">
      <c r="A75" s="94">
        <v>758</v>
      </c>
      <c r="B75" s="88"/>
      <c r="C75" s="89"/>
      <c r="D75" s="90" t="s">
        <v>71</v>
      </c>
      <c r="E75" s="91">
        <f>E76+E78+E80+E82+E84</f>
        <v>22838085</v>
      </c>
      <c r="F75" s="91">
        <f>F76+F78+F80+F82+F84</f>
        <v>958417</v>
      </c>
      <c r="G75" s="91">
        <f>G76+G78+G80+G82+G84</f>
        <v>0</v>
      </c>
      <c r="H75" s="113">
        <f t="shared" si="0"/>
        <v>23796502</v>
      </c>
      <c r="S75" s="248">
        <f>S76+S78+S80+S82+S84</f>
        <v>13484793.35</v>
      </c>
      <c r="T75" s="126">
        <f t="shared" si="1"/>
        <v>0.5666712422691369</v>
      </c>
    </row>
    <row r="76" spans="1:20" ht="25.5">
      <c r="A76" s="56"/>
      <c r="B76" s="71">
        <v>75801</v>
      </c>
      <c r="C76" s="63"/>
      <c r="D76" s="64" t="s">
        <v>38</v>
      </c>
      <c r="E76" s="65">
        <f>E77</f>
        <v>17398818</v>
      </c>
      <c r="F76" s="65">
        <f>F77</f>
        <v>108417</v>
      </c>
      <c r="G76" s="65">
        <f>G77</f>
        <v>0</v>
      </c>
      <c r="H76" s="66">
        <f t="shared" si="0"/>
        <v>17507235</v>
      </c>
      <c r="S76" s="245">
        <f>S77</f>
        <v>10773680</v>
      </c>
      <c r="T76" s="123">
        <f aca="true" t="shared" si="2" ref="T76:T140">S76/H76</f>
        <v>0.6153844396331003</v>
      </c>
    </row>
    <row r="77" spans="1:20" ht="12.75">
      <c r="A77" s="56"/>
      <c r="B77" s="57"/>
      <c r="C77" s="58">
        <v>2920</v>
      </c>
      <c r="D77" s="59" t="s">
        <v>72</v>
      </c>
      <c r="E77" s="60">
        <v>17398818</v>
      </c>
      <c r="F77" s="60">
        <v>108417</v>
      </c>
      <c r="G77" s="60"/>
      <c r="H77" s="61">
        <f t="shared" si="0"/>
        <v>17507235</v>
      </c>
      <c r="S77" s="246">
        <v>10773680</v>
      </c>
      <c r="T77" s="124">
        <f t="shared" si="2"/>
        <v>0.6153844396331003</v>
      </c>
    </row>
    <row r="78" spans="1:20" ht="25.5">
      <c r="A78" s="56"/>
      <c r="B78" s="71">
        <v>75802</v>
      </c>
      <c r="C78" s="63"/>
      <c r="D78" s="64" t="s">
        <v>282</v>
      </c>
      <c r="E78" s="65">
        <f>E79</f>
        <v>0</v>
      </c>
      <c r="F78" s="65">
        <f>F79</f>
        <v>850000</v>
      </c>
      <c r="G78" s="65">
        <f>G79</f>
        <v>0</v>
      </c>
      <c r="H78" s="66">
        <f>E78+F78-G78</f>
        <v>850000</v>
      </c>
      <c r="S78" s="245">
        <f>S79</f>
        <v>0</v>
      </c>
      <c r="T78" s="123">
        <f t="shared" si="2"/>
        <v>0</v>
      </c>
    </row>
    <row r="79" spans="1:20" ht="25.5">
      <c r="A79" s="56"/>
      <c r="B79" s="57"/>
      <c r="C79" s="58">
        <v>2780</v>
      </c>
      <c r="D79" s="59" t="s">
        <v>281</v>
      </c>
      <c r="E79" s="60">
        <v>0</v>
      </c>
      <c r="F79" s="60">
        <v>850000</v>
      </c>
      <c r="G79" s="60"/>
      <c r="H79" s="61">
        <f>E79+F79-G79</f>
        <v>850000</v>
      </c>
      <c r="S79" s="246"/>
      <c r="T79" s="124">
        <f t="shared" si="2"/>
        <v>0</v>
      </c>
    </row>
    <row r="80" spans="1:20" ht="25.5">
      <c r="A80" s="56"/>
      <c r="B80" s="71">
        <v>75803</v>
      </c>
      <c r="C80" s="63"/>
      <c r="D80" s="64" t="s">
        <v>40</v>
      </c>
      <c r="E80" s="65">
        <f>E81</f>
        <v>3555622</v>
      </c>
      <c r="F80" s="65">
        <f>F81</f>
        <v>0</v>
      </c>
      <c r="G80" s="65">
        <f>G81</f>
        <v>0</v>
      </c>
      <c r="H80" s="66">
        <f aca="true" t="shared" si="3" ref="H80:H142">E80+F80-G80</f>
        <v>3555622</v>
      </c>
      <c r="S80" s="245">
        <f>S81</f>
        <v>1777812</v>
      </c>
      <c r="T80" s="123">
        <f t="shared" si="2"/>
        <v>0.5000002812447443</v>
      </c>
    </row>
    <row r="81" spans="1:20" ht="12.75">
      <c r="A81" s="56"/>
      <c r="B81" s="57"/>
      <c r="C81" s="58">
        <v>2920</v>
      </c>
      <c r="D81" s="59" t="s">
        <v>72</v>
      </c>
      <c r="E81" s="60">
        <v>3555622</v>
      </c>
      <c r="F81" s="60"/>
      <c r="G81" s="60"/>
      <c r="H81" s="61">
        <f t="shared" si="3"/>
        <v>3555622</v>
      </c>
      <c r="S81" s="246">
        <v>1777812</v>
      </c>
      <c r="T81" s="124">
        <f t="shared" si="2"/>
        <v>0.5000002812447443</v>
      </c>
    </row>
    <row r="82" spans="1:20" s="21" customFormat="1" ht="12.75" customHeight="1">
      <c r="A82" s="74"/>
      <c r="B82" s="75">
        <v>75832</v>
      </c>
      <c r="C82" s="76"/>
      <c r="D82" s="77" t="s">
        <v>39</v>
      </c>
      <c r="E82" s="65">
        <f>E83</f>
        <v>1774167</v>
      </c>
      <c r="F82" s="65">
        <f>F83</f>
        <v>0</v>
      </c>
      <c r="G82" s="65">
        <f>G83</f>
        <v>0</v>
      </c>
      <c r="H82" s="66">
        <f t="shared" si="3"/>
        <v>1774167</v>
      </c>
      <c r="S82" s="245">
        <f>S83</f>
        <v>887082</v>
      </c>
      <c r="T82" s="123">
        <f t="shared" si="2"/>
        <v>0.4999991545328033</v>
      </c>
    </row>
    <row r="83" spans="1:20" ht="12.75">
      <c r="A83" s="56"/>
      <c r="B83" s="57"/>
      <c r="C83" s="58">
        <v>2920</v>
      </c>
      <c r="D83" s="59" t="s">
        <v>72</v>
      </c>
      <c r="E83" s="60">
        <v>1774167</v>
      </c>
      <c r="F83" s="60"/>
      <c r="G83" s="60"/>
      <c r="H83" s="61">
        <f t="shared" si="3"/>
        <v>1774167</v>
      </c>
      <c r="S83" s="246">
        <v>887082</v>
      </c>
      <c r="T83" s="124">
        <f t="shared" si="2"/>
        <v>0.4999991545328033</v>
      </c>
    </row>
    <row r="84" spans="1:20" ht="12.75">
      <c r="A84" s="56"/>
      <c r="B84" s="71">
        <v>75814</v>
      </c>
      <c r="C84" s="63"/>
      <c r="D84" s="64" t="s">
        <v>73</v>
      </c>
      <c r="E84" s="65">
        <f>E85</f>
        <v>109478</v>
      </c>
      <c r="F84" s="65">
        <f>F85</f>
        <v>0</v>
      </c>
      <c r="G84" s="65">
        <f>G85</f>
        <v>0</v>
      </c>
      <c r="H84" s="66">
        <f t="shared" si="3"/>
        <v>109478</v>
      </c>
      <c r="S84" s="245">
        <f>S85</f>
        <v>46219.35</v>
      </c>
      <c r="T84" s="123">
        <f t="shared" si="2"/>
        <v>0.4221793419682493</v>
      </c>
    </row>
    <row r="85" spans="1:20" ht="12.75">
      <c r="A85" s="81"/>
      <c r="B85" s="82"/>
      <c r="C85" s="83" t="s">
        <v>52</v>
      </c>
      <c r="D85" s="84" t="s">
        <v>53</v>
      </c>
      <c r="E85" s="85">
        <v>109478</v>
      </c>
      <c r="F85" s="85"/>
      <c r="G85" s="85"/>
      <c r="H85" s="86">
        <f t="shared" si="3"/>
        <v>109478</v>
      </c>
      <c r="S85" s="247">
        <v>46219.35</v>
      </c>
      <c r="T85" s="125">
        <f t="shared" si="2"/>
        <v>0.4221793419682493</v>
      </c>
    </row>
    <row r="86" spans="1:20" ht="12.75">
      <c r="A86" s="94">
        <v>801</v>
      </c>
      <c r="B86" s="88"/>
      <c r="C86" s="100"/>
      <c r="D86" s="90" t="s">
        <v>74</v>
      </c>
      <c r="E86" s="91">
        <f>E87+E91+E98</f>
        <v>125634</v>
      </c>
      <c r="F86" s="91">
        <f>F87+F91+F98</f>
        <v>41315</v>
      </c>
      <c r="G86" s="91">
        <f>G87+G91+G98</f>
        <v>0</v>
      </c>
      <c r="H86" s="113">
        <f t="shared" si="3"/>
        <v>166949</v>
      </c>
      <c r="S86" s="248">
        <f>S87+S91+S98</f>
        <v>117987.26000000001</v>
      </c>
      <c r="T86" s="126">
        <f t="shared" si="2"/>
        <v>0.7067263655367807</v>
      </c>
    </row>
    <row r="87" spans="1:20" ht="12.75">
      <c r="A87" s="56"/>
      <c r="B87" s="71">
        <v>80120</v>
      </c>
      <c r="C87" s="78"/>
      <c r="D87" s="64" t="s">
        <v>75</v>
      </c>
      <c r="E87" s="65">
        <f>SUM(E88:E90)</f>
        <v>7097</v>
      </c>
      <c r="F87" s="65">
        <f>SUM(F88:F90)</f>
        <v>1713</v>
      </c>
      <c r="G87" s="65">
        <f>SUM(G88:G90)</f>
        <v>0</v>
      </c>
      <c r="H87" s="66">
        <f t="shared" si="3"/>
        <v>8810</v>
      </c>
      <c r="S87" s="245">
        <f>SUM(S88:S90)</f>
        <v>5868.18</v>
      </c>
      <c r="T87" s="123">
        <f t="shared" si="2"/>
        <v>0.6660817253121453</v>
      </c>
    </row>
    <row r="88" spans="1:20" ht="51">
      <c r="A88" s="56"/>
      <c r="B88" s="57"/>
      <c r="C88" s="73" t="s">
        <v>27</v>
      </c>
      <c r="D88" s="59" t="s">
        <v>28</v>
      </c>
      <c r="E88" s="60"/>
      <c r="F88" s="60">
        <f>1713</f>
        <v>1713</v>
      </c>
      <c r="G88" s="60"/>
      <c r="H88" s="61">
        <f>E88+F88-G88</f>
        <v>1713</v>
      </c>
      <c r="S88" s="246">
        <v>2182</v>
      </c>
      <c r="T88" s="124">
        <f t="shared" si="2"/>
        <v>1.273788674839463</v>
      </c>
    </row>
    <row r="89" spans="1:20" ht="12.75">
      <c r="A89" s="56"/>
      <c r="B89" s="57"/>
      <c r="C89" s="73" t="s">
        <v>19</v>
      </c>
      <c r="D89" s="59" t="s">
        <v>20</v>
      </c>
      <c r="E89" s="60">
        <v>6907</v>
      </c>
      <c r="F89" s="60"/>
      <c r="G89" s="60"/>
      <c r="H89" s="61">
        <f t="shared" si="3"/>
        <v>6907</v>
      </c>
      <c r="S89" s="246">
        <v>3568.18</v>
      </c>
      <c r="T89" s="124">
        <f t="shared" si="2"/>
        <v>0.5166034457796438</v>
      </c>
    </row>
    <row r="90" spans="1:20" ht="12.75">
      <c r="A90" s="56"/>
      <c r="B90" s="57"/>
      <c r="C90" s="73" t="s">
        <v>23</v>
      </c>
      <c r="D90" s="59" t="s">
        <v>24</v>
      </c>
      <c r="E90" s="60">
        <v>190</v>
      </c>
      <c r="F90" s="60"/>
      <c r="G90" s="60"/>
      <c r="H90" s="61">
        <f t="shared" si="3"/>
        <v>190</v>
      </c>
      <c r="S90" s="246">
        <v>118</v>
      </c>
      <c r="T90" s="124">
        <f t="shared" si="2"/>
        <v>0.6210526315789474</v>
      </c>
    </row>
    <row r="91" spans="1:20" ht="18" customHeight="1">
      <c r="A91" s="56"/>
      <c r="B91" s="71">
        <v>80130</v>
      </c>
      <c r="C91" s="78"/>
      <c r="D91" s="64" t="s">
        <v>76</v>
      </c>
      <c r="E91" s="65">
        <f>SUM(E92:E97)</f>
        <v>118537</v>
      </c>
      <c r="F91" s="65">
        <f>SUM(F92:F97)</f>
        <v>20868</v>
      </c>
      <c r="G91" s="65">
        <f>SUM(G92:G97)</f>
        <v>0</v>
      </c>
      <c r="H91" s="66">
        <f t="shared" si="3"/>
        <v>139405</v>
      </c>
      <c r="S91" s="245">
        <f>SUM(S92:S97)</f>
        <v>92885.42000000001</v>
      </c>
      <c r="T91" s="123">
        <f t="shared" si="2"/>
        <v>0.6662990567052832</v>
      </c>
    </row>
    <row r="92" spans="1:20" ht="12.75">
      <c r="A92" s="56"/>
      <c r="B92" s="57"/>
      <c r="C92" s="73" t="s">
        <v>17</v>
      </c>
      <c r="D92" s="59" t="s">
        <v>18</v>
      </c>
      <c r="E92" s="60">
        <v>322</v>
      </c>
      <c r="F92" s="60">
        <v>400</v>
      </c>
      <c r="G92" s="60"/>
      <c r="H92" s="61">
        <f t="shared" si="3"/>
        <v>722</v>
      </c>
      <c r="S92" s="246">
        <v>506.99</v>
      </c>
      <c r="T92" s="124">
        <f t="shared" si="2"/>
        <v>0.702202216066482</v>
      </c>
    </row>
    <row r="93" spans="1:20" ht="51">
      <c r="A93" s="56"/>
      <c r="B93" s="57"/>
      <c r="C93" s="73" t="s">
        <v>27</v>
      </c>
      <c r="D93" s="59" t="s">
        <v>28</v>
      </c>
      <c r="E93" s="60">
        <v>93728</v>
      </c>
      <c r="F93" s="60">
        <v>14700</v>
      </c>
      <c r="G93" s="60"/>
      <c r="H93" s="61">
        <f t="shared" si="3"/>
        <v>108428</v>
      </c>
      <c r="S93" s="246">
        <v>74276.63</v>
      </c>
      <c r="T93" s="124">
        <f t="shared" si="2"/>
        <v>0.6850318183495039</v>
      </c>
    </row>
    <row r="94" spans="1:20" ht="12.75">
      <c r="A94" s="56"/>
      <c r="B94" s="57"/>
      <c r="C94" s="73" t="s">
        <v>19</v>
      </c>
      <c r="D94" s="59" t="s">
        <v>20</v>
      </c>
      <c r="E94" s="60">
        <v>21503</v>
      </c>
      <c r="F94" s="60"/>
      <c r="G94" s="60"/>
      <c r="H94" s="61">
        <f t="shared" si="3"/>
        <v>21503</v>
      </c>
      <c r="S94" s="246">
        <v>10794.16</v>
      </c>
      <c r="T94" s="124">
        <f t="shared" si="2"/>
        <v>0.501983909221969</v>
      </c>
    </row>
    <row r="95" spans="1:20" ht="25.5">
      <c r="A95" s="56"/>
      <c r="B95" s="57"/>
      <c r="C95" s="73" t="s">
        <v>21</v>
      </c>
      <c r="D95" s="59" t="s">
        <v>22</v>
      </c>
      <c r="E95" s="60">
        <v>0</v>
      </c>
      <c r="F95" s="60">
        <v>250</v>
      </c>
      <c r="G95" s="60"/>
      <c r="H95" s="61">
        <f>E95+F95-G95</f>
        <v>250</v>
      </c>
      <c r="S95" s="246">
        <v>294.53</v>
      </c>
      <c r="T95" s="124">
        <f t="shared" si="2"/>
        <v>1.1781199999999998</v>
      </c>
    </row>
    <row r="96" spans="1:20" ht="12.75">
      <c r="A96" s="56"/>
      <c r="B96" s="57"/>
      <c r="C96" s="73" t="s">
        <v>52</v>
      </c>
      <c r="D96" s="59" t="s">
        <v>53</v>
      </c>
      <c r="E96" s="60"/>
      <c r="F96" s="60"/>
      <c r="G96" s="60"/>
      <c r="H96" s="61">
        <f>E96+F96-G96</f>
        <v>0</v>
      </c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46">
        <v>16.41</v>
      </c>
      <c r="T96" s="124"/>
    </row>
    <row r="97" spans="1:20" ht="12.75">
      <c r="A97" s="56"/>
      <c r="B97" s="57"/>
      <c r="C97" s="73" t="s">
        <v>23</v>
      </c>
      <c r="D97" s="59" t="s">
        <v>24</v>
      </c>
      <c r="E97" s="60">
        <v>2984</v>
      </c>
      <c r="F97" s="60">
        <v>5518</v>
      </c>
      <c r="G97" s="60"/>
      <c r="H97" s="61">
        <f t="shared" si="3"/>
        <v>8502</v>
      </c>
      <c r="S97" s="246">
        <v>6996.7</v>
      </c>
      <c r="T97" s="124">
        <f t="shared" si="2"/>
        <v>0.8229475417548812</v>
      </c>
    </row>
    <row r="98" spans="1:20" ht="25.5" customHeight="1">
      <c r="A98" s="56"/>
      <c r="B98" s="71">
        <v>80197</v>
      </c>
      <c r="C98" s="78"/>
      <c r="D98" s="64" t="s">
        <v>269</v>
      </c>
      <c r="E98" s="65">
        <f>E99</f>
        <v>0</v>
      </c>
      <c r="F98" s="65">
        <f>F99</f>
        <v>18734</v>
      </c>
      <c r="G98" s="65">
        <f>G99</f>
        <v>0</v>
      </c>
      <c r="H98" s="66">
        <f>E98+F98-G98</f>
        <v>18734</v>
      </c>
      <c r="S98" s="245">
        <f>S99</f>
        <v>19233.66</v>
      </c>
      <c r="T98" s="123">
        <f t="shared" si="2"/>
        <v>1.0266712928365538</v>
      </c>
    </row>
    <row r="99" spans="1:20" s="22" customFormat="1" ht="25.5">
      <c r="A99" s="81"/>
      <c r="B99" s="82"/>
      <c r="C99" s="83">
        <v>2380</v>
      </c>
      <c r="D99" s="84" t="s">
        <v>270</v>
      </c>
      <c r="E99" s="85"/>
      <c r="F99" s="85">
        <v>18734</v>
      </c>
      <c r="G99" s="85"/>
      <c r="H99" s="86">
        <f>E99+F99-G99</f>
        <v>18734</v>
      </c>
      <c r="S99" s="247">
        <v>19233.66</v>
      </c>
      <c r="T99" s="125">
        <f t="shared" si="2"/>
        <v>1.0266712928365538</v>
      </c>
    </row>
    <row r="100" spans="1:20" s="22" customFormat="1" ht="12.75">
      <c r="A100" s="94">
        <v>803</v>
      </c>
      <c r="B100" s="88"/>
      <c r="C100" s="89"/>
      <c r="D100" s="90" t="s">
        <v>275</v>
      </c>
      <c r="E100" s="91">
        <f>E101</f>
        <v>0</v>
      </c>
      <c r="F100" s="91">
        <f>F101</f>
        <v>75241</v>
      </c>
      <c r="G100" s="91">
        <f>G101</f>
        <v>0</v>
      </c>
      <c r="H100" s="113">
        <f>E100+F100-G100</f>
        <v>75241</v>
      </c>
      <c r="S100" s="248">
        <f>S101</f>
        <v>41551</v>
      </c>
      <c r="T100" s="126">
        <f t="shared" si="2"/>
        <v>0.5522388059701493</v>
      </c>
    </row>
    <row r="101" spans="1:20" ht="17.25" customHeight="1">
      <c r="A101" s="56"/>
      <c r="B101" s="71">
        <v>80309</v>
      </c>
      <c r="C101" s="78"/>
      <c r="D101" s="64" t="s">
        <v>276</v>
      </c>
      <c r="E101" s="65">
        <f>SUM(E102:E103)</f>
        <v>0</v>
      </c>
      <c r="F101" s="65">
        <f>SUM(F102:F103)</f>
        <v>75241</v>
      </c>
      <c r="G101" s="65">
        <f>SUM(G102:G103)</f>
        <v>0</v>
      </c>
      <c r="H101" s="66">
        <f t="shared" si="3"/>
        <v>75241</v>
      </c>
      <c r="S101" s="245">
        <f>SUM(S102:S103)</f>
        <v>41551</v>
      </c>
      <c r="T101" s="123">
        <f t="shared" si="2"/>
        <v>0.5522388059701493</v>
      </c>
    </row>
    <row r="102" spans="1:20" ht="63.75">
      <c r="A102" s="56"/>
      <c r="B102" s="57"/>
      <c r="C102" s="73">
        <v>2338</v>
      </c>
      <c r="D102" s="59" t="s">
        <v>277</v>
      </c>
      <c r="E102" s="60"/>
      <c r="F102" s="60">
        <v>56431</v>
      </c>
      <c r="G102" s="60"/>
      <c r="H102" s="61">
        <f>E102+F102-G102</f>
        <v>56431</v>
      </c>
      <c r="S102" s="246">
        <v>31163.25</v>
      </c>
      <c r="T102" s="124">
        <f t="shared" si="2"/>
        <v>0.5522363594478212</v>
      </c>
    </row>
    <row r="103" spans="1:20" ht="63.75">
      <c r="A103" s="81"/>
      <c r="B103" s="82"/>
      <c r="C103" s="83">
        <v>2339</v>
      </c>
      <c r="D103" s="84" t="s">
        <v>277</v>
      </c>
      <c r="E103" s="85"/>
      <c r="F103" s="85">
        <v>18810</v>
      </c>
      <c r="G103" s="85"/>
      <c r="H103" s="86">
        <f>E103+F103-G103</f>
        <v>18810</v>
      </c>
      <c r="S103" s="247">
        <v>10387.75</v>
      </c>
      <c r="T103" s="125">
        <f t="shared" si="2"/>
        <v>0.5522461456671983</v>
      </c>
    </row>
    <row r="104" spans="1:20" ht="12.75">
      <c r="A104" s="94">
        <v>851</v>
      </c>
      <c r="B104" s="88"/>
      <c r="C104" s="89"/>
      <c r="D104" s="90" t="s">
        <v>78</v>
      </c>
      <c r="E104" s="91">
        <f aca="true" t="shared" si="4" ref="E104:G105">E105</f>
        <v>1094760</v>
      </c>
      <c r="F104" s="91">
        <f t="shared" si="4"/>
        <v>0</v>
      </c>
      <c r="G104" s="91">
        <f t="shared" si="4"/>
        <v>0</v>
      </c>
      <c r="H104" s="113">
        <f t="shared" si="3"/>
        <v>1094760</v>
      </c>
      <c r="S104" s="248">
        <f>S105</f>
        <v>477380</v>
      </c>
      <c r="T104" s="126">
        <f t="shared" si="2"/>
        <v>0.43605904490481934</v>
      </c>
    </row>
    <row r="105" spans="1:20" ht="39" customHeight="1">
      <c r="A105" s="56"/>
      <c r="B105" s="71">
        <v>85156</v>
      </c>
      <c r="C105" s="63"/>
      <c r="D105" s="64" t="s">
        <v>79</v>
      </c>
      <c r="E105" s="65">
        <f t="shared" si="4"/>
        <v>1094760</v>
      </c>
      <c r="F105" s="65">
        <f t="shared" si="4"/>
        <v>0</v>
      </c>
      <c r="G105" s="65">
        <f t="shared" si="4"/>
        <v>0</v>
      </c>
      <c r="H105" s="66">
        <f t="shared" si="3"/>
        <v>1094760</v>
      </c>
      <c r="S105" s="245">
        <f>S106</f>
        <v>477380</v>
      </c>
      <c r="T105" s="123">
        <f t="shared" si="2"/>
        <v>0.43605904490481934</v>
      </c>
    </row>
    <row r="106" spans="1:20" ht="50.25" customHeight="1">
      <c r="A106" s="81"/>
      <c r="B106" s="82"/>
      <c r="C106" s="93">
        <v>2110</v>
      </c>
      <c r="D106" s="84" t="s">
        <v>9</v>
      </c>
      <c r="E106" s="85">
        <v>1094760</v>
      </c>
      <c r="F106" s="85"/>
      <c r="G106" s="85"/>
      <c r="H106" s="86">
        <f t="shared" si="3"/>
        <v>1094760</v>
      </c>
      <c r="S106" s="247">
        <v>477380</v>
      </c>
      <c r="T106" s="125">
        <f t="shared" si="2"/>
        <v>0.43605904490481934</v>
      </c>
    </row>
    <row r="107" spans="1:20" ht="16.5" customHeight="1">
      <c r="A107" s="94">
        <v>852</v>
      </c>
      <c r="B107" s="88"/>
      <c r="C107" s="89"/>
      <c r="D107" s="90" t="s">
        <v>80</v>
      </c>
      <c r="E107" s="91">
        <f>E108+E113+E115</f>
        <v>576716</v>
      </c>
      <c r="F107" s="91">
        <f>F108+F113+F115</f>
        <v>72131</v>
      </c>
      <c r="G107" s="91">
        <f>G108+G113+G115</f>
        <v>72131</v>
      </c>
      <c r="H107" s="113">
        <f t="shared" si="3"/>
        <v>576716</v>
      </c>
      <c r="S107" s="248">
        <f>S108+S113+S115</f>
        <v>347838.36</v>
      </c>
      <c r="T107" s="126">
        <f t="shared" si="2"/>
        <v>0.6031363097261043</v>
      </c>
    </row>
    <row r="108" spans="1:20" ht="16.5" customHeight="1">
      <c r="A108" s="56"/>
      <c r="B108" s="71">
        <v>85201</v>
      </c>
      <c r="C108" s="63"/>
      <c r="D108" s="64" t="s">
        <v>81</v>
      </c>
      <c r="E108" s="65">
        <f>SUM(E109:E112)</f>
        <v>495316</v>
      </c>
      <c r="F108" s="65">
        <f>SUM(F109:F112)</f>
        <v>0</v>
      </c>
      <c r="G108" s="65">
        <f>SUM(G109:G112)</f>
        <v>0</v>
      </c>
      <c r="H108" s="66">
        <f t="shared" si="3"/>
        <v>495316</v>
      </c>
      <c r="S108" s="245">
        <f>SUM(S109:S112)</f>
        <v>285491.64</v>
      </c>
      <c r="T108" s="123">
        <f t="shared" si="2"/>
        <v>0.5763828343925899</v>
      </c>
    </row>
    <row r="109" spans="1:20" ht="12.75">
      <c r="A109" s="56"/>
      <c r="B109" s="57"/>
      <c r="C109" s="73" t="s">
        <v>17</v>
      </c>
      <c r="D109" s="59" t="s">
        <v>18</v>
      </c>
      <c r="E109" s="60">
        <v>6266</v>
      </c>
      <c r="F109" s="60"/>
      <c r="G109" s="60"/>
      <c r="H109" s="61">
        <f t="shared" si="3"/>
        <v>6266</v>
      </c>
      <c r="S109" s="246">
        <v>3133.2</v>
      </c>
      <c r="T109" s="124">
        <f t="shared" si="2"/>
        <v>0.5000319182891797</v>
      </c>
    </row>
    <row r="110" spans="1:20" ht="17.25" customHeight="1">
      <c r="A110" s="56"/>
      <c r="B110" s="57"/>
      <c r="C110" s="73" t="s">
        <v>19</v>
      </c>
      <c r="D110" s="59" t="s">
        <v>20</v>
      </c>
      <c r="E110" s="60">
        <v>7500</v>
      </c>
      <c r="F110" s="60"/>
      <c r="G110" s="60"/>
      <c r="H110" s="61">
        <f t="shared" si="3"/>
        <v>7500</v>
      </c>
      <c r="S110" s="246">
        <v>5048.83</v>
      </c>
      <c r="T110" s="124">
        <f t="shared" si="2"/>
        <v>0.6731773333333333</v>
      </c>
    </row>
    <row r="111" spans="1:20" ht="12.75">
      <c r="A111" s="56"/>
      <c r="B111" s="57"/>
      <c r="C111" s="73" t="s">
        <v>23</v>
      </c>
      <c r="D111" s="59" t="s">
        <v>24</v>
      </c>
      <c r="E111" s="60">
        <v>100</v>
      </c>
      <c r="F111" s="60"/>
      <c r="G111" s="60"/>
      <c r="H111" s="61">
        <f t="shared" si="3"/>
        <v>100</v>
      </c>
      <c r="S111" s="246">
        <v>62</v>
      </c>
      <c r="T111" s="124">
        <f t="shared" si="2"/>
        <v>0.62</v>
      </c>
    </row>
    <row r="112" spans="1:20" ht="37.5" customHeight="1">
      <c r="A112" s="56"/>
      <c r="B112" s="57"/>
      <c r="C112" s="73">
        <v>2320</v>
      </c>
      <c r="D112" s="59" t="s">
        <v>82</v>
      </c>
      <c r="E112" s="60">
        <v>481450</v>
      </c>
      <c r="F112" s="60"/>
      <c r="G112" s="60"/>
      <c r="H112" s="61">
        <f t="shared" si="3"/>
        <v>481450</v>
      </c>
      <c r="S112" s="246">
        <v>277247.61</v>
      </c>
      <c r="T112" s="124">
        <f t="shared" si="2"/>
        <v>0.5758596115899886</v>
      </c>
    </row>
    <row r="113" spans="1:20" ht="39" customHeight="1">
      <c r="A113" s="56"/>
      <c r="B113" s="71">
        <v>85204</v>
      </c>
      <c r="C113" s="63"/>
      <c r="D113" s="64" t="s">
        <v>83</v>
      </c>
      <c r="E113" s="65">
        <f>E114</f>
        <v>81400</v>
      </c>
      <c r="F113" s="65">
        <f>F114</f>
        <v>0</v>
      </c>
      <c r="G113" s="65">
        <f>G114</f>
        <v>0</v>
      </c>
      <c r="H113" s="66">
        <f t="shared" si="3"/>
        <v>81400</v>
      </c>
      <c r="S113" s="245">
        <f>S114</f>
        <v>62346.72</v>
      </c>
      <c r="T113" s="123">
        <f t="shared" si="2"/>
        <v>0.7659302211302211</v>
      </c>
    </row>
    <row r="114" spans="1:20" ht="51">
      <c r="A114" s="56"/>
      <c r="B114" s="57"/>
      <c r="C114" s="73">
        <v>2320</v>
      </c>
      <c r="D114" s="59" t="s">
        <v>82</v>
      </c>
      <c r="E114" s="60">
        <v>81400</v>
      </c>
      <c r="F114" s="60"/>
      <c r="G114" s="60"/>
      <c r="H114" s="61">
        <f t="shared" si="3"/>
        <v>81400</v>
      </c>
      <c r="S114" s="246">
        <v>62346.72</v>
      </c>
      <c r="T114" s="124">
        <f t="shared" si="2"/>
        <v>0.7659302211302211</v>
      </c>
    </row>
    <row r="115" spans="1:20" ht="12.75">
      <c r="A115" s="56"/>
      <c r="B115" s="71">
        <v>85218</v>
      </c>
      <c r="C115" s="63"/>
      <c r="D115" s="64" t="s">
        <v>264</v>
      </c>
      <c r="E115" s="65">
        <f>E116</f>
        <v>0</v>
      </c>
      <c r="F115" s="65">
        <f>F116</f>
        <v>72131</v>
      </c>
      <c r="G115" s="65">
        <f>G116</f>
        <v>72131</v>
      </c>
      <c r="H115" s="66">
        <f>E115+F115-G115</f>
        <v>0</v>
      </c>
      <c r="S115" s="245">
        <f>S116</f>
        <v>0</v>
      </c>
      <c r="T115" s="123"/>
    </row>
    <row r="116" spans="1:20" ht="39" customHeight="1">
      <c r="A116" s="81"/>
      <c r="B116" s="82"/>
      <c r="C116" s="83">
        <v>2710</v>
      </c>
      <c r="D116" s="84" t="s">
        <v>263</v>
      </c>
      <c r="E116" s="85">
        <v>0</v>
      </c>
      <c r="F116" s="60">
        <v>72131</v>
      </c>
      <c r="G116" s="60">
        <v>72131</v>
      </c>
      <c r="H116" s="86">
        <f>E116+F116-G116</f>
        <v>0</v>
      </c>
      <c r="S116" s="246"/>
      <c r="T116" s="124"/>
    </row>
    <row r="117" spans="1:20" ht="25.5">
      <c r="A117" s="94">
        <v>853</v>
      </c>
      <c r="B117" s="88"/>
      <c r="C117" s="89"/>
      <c r="D117" s="90" t="s">
        <v>84</v>
      </c>
      <c r="E117" s="91">
        <f>E118+E120+E122+E124</f>
        <v>297573</v>
      </c>
      <c r="F117" s="91">
        <f>F118+F120+F122+F124</f>
        <v>129209</v>
      </c>
      <c r="G117" s="91">
        <f>G118+G120+G122+G124</f>
        <v>0</v>
      </c>
      <c r="H117" s="113">
        <f t="shared" si="3"/>
        <v>426782</v>
      </c>
      <c r="S117" s="248">
        <f>S118+S120+S122+S124</f>
        <v>221100.8</v>
      </c>
      <c r="T117" s="126">
        <f t="shared" si="2"/>
        <v>0.5180649605653471</v>
      </c>
    </row>
    <row r="118" spans="1:20" ht="25.5">
      <c r="A118" s="56"/>
      <c r="B118" s="71">
        <v>85311</v>
      </c>
      <c r="C118" s="63"/>
      <c r="D118" s="120" t="s">
        <v>271</v>
      </c>
      <c r="E118" s="65">
        <f>E119</f>
        <v>0</v>
      </c>
      <c r="F118" s="65">
        <f>F119</f>
        <v>72131</v>
      </c>
      <c r="G118" s="65">
        <f>G119</f>
        <v>0</v>
      </c>
      <c r="H118" s="66">
        <f>E118+F118-G118</f>
        <v>72131</v>
      </c>
      <c r="S118" s="245">
        <f>S119</f>
        <v>54131</v>
      </c>
      <c r="T118" s="123">
        <f t="shared" si="2"/>
        <v>0.750454035019617</v>
      </c>
    </row>
    <row r="119" spans="1:20" ht="51">
      <c r="A119" s="56"/>
      <c r="B119" s="57"/>
      <c r="C119" s="73">
        <v>2710</v>
      </c>
      <c r="D119" s="59" t="s">
        <v>263</v>
      </c>
      <c r="E119" s="60"/>
      <c r="F119" s="60">
        <v>72131</v>
      </c>
      <c r="G119" s="60"/>
      <c r="H119" s="61">
        <f>E119+F119-G119</f>
        <v>72131</v>
      </c>
      <c r="S119" s="246">
        <v>54131</v>
      </c>
      <c r="T119" s="124">
        <f t="shared" si="2"/>
        <v>0.750454035019617</v>
      </c>
    </row>
    <row r="120" spans="1:20" ht="25.5">
      <c r="A120" s="56"/>
      <c r="B120" s="71">
        <v>85321</v>
      </c>
      <c r="C120" s="63"/>
      <c r="D120" s="64" t="s">
        <v>85</v>
      </c>
      <c r="E120" s="65">
        <f>E121</f>
        <v>91600</v>
      </c>
      <c r="F120" s="65">
        <f>F121</f>
        <v>0</v>
      </c>
      <c r="G120" s="65">
        <f>G121</f>
        <v>0</v>
      </c>
      <c r="H120" s="66">
        <f t="shared" si="3"/>
        <v>91600</v>
      </c>
      <c r="S120" s="245">
        <f>S121</f>
        <v>45798</v>
      </c>
      <c r="T120" s="123">
        <f t="shared" si="2"/>
        <v>0.4999781659388646</v>
      </c>
    </row>
    <row r="121" spans="1:20" ht="53.25" customHeight="1">
      <c r="A121" s="56"/>
      <c r="B121" s="57"/>
      <c r="C121" s="58">
        <v>2110</v>
      </c>
      <c r="D121" s="59" t="s">
        <v>9</v>
      </c>
      <c r="E121" s="60">
        <v>91600</v>
      </c>
      <c r="F121" s="60"/>
      <c r="G121" s="60"/>
      <c r="H121" s="61">
        <f t="shared" si="3"/>
        <v>91600</v>
      </c>
      <c r="S121" s="246">
        <v>45798</v>
      </c>
      <c r="T121" s="124">
        <f t="shared" si="2"/>
        <v>0.4999781659388646</v>
      </c>
    </row>
    <row r="122" spans="1:20" ht="69" customHeight="1">
      <c r="A122" s="56"/>
      <c r="B122" s="71">
        <v>85324</v>
      </c>
      <c r="C122" s="63"/>
      <c r="D122" s="79" t="s">
        <v>86</v>
      </c>
      <c r="E122" s="65">
        <f>E123</f>
        <v>40000</v>
      </c>
      <c r="F122" s="65">
        <f>F123</f>
        <v>0</v>
      </c>
      <c r="G122" s="65">
        <f>G123</f>
        <v>0</v>
      </c>
      <c r="H122" s="66">
        <f t="shared" si="3"/>
        <v>40000</v>
      </c>
      <c r="S122" s="245">
        <f>S123</f>
        <v>20000</v>
      </c>
      <c r="T122" s="123">
        <f t="shared" si="2"/>
        <v>0.5</v>
      </c>
    </row>
    <row r="123" spans="1:20" ht="39.75" customHeight="1">
      <c r="A123" s="56"/>
      <c r="B123" s="57"/>
      <c r="C123" s="73" t="s">
        <v>23</v>
      </c>
      <c r="D123" s="80" t="s">
        <v>24</v>
      </c>
      <c r="E123" s="60">
        <v>40000</v>
      </c>
      <c r="F123" s="60"/>
      <c r="G123" s="60"/>
      <c r="H123" s="61">
        <f t="shared" si="3"/>
        <v>40000</v>
      </c>
      <c r="S123" s="246">
        <v>20000</v>
      </c>
      <c r="T123" s="124">
        <f t="shared" si="2"/>
        <v>0.5</v>
      </c>
    </row>
    <row r="124" spans="1:20" ht="16.5" customHeight="1">
      <c r="A124" s="56"/>
      <c r="B124" s="71">
        <v>85333</v>
      </c>
      <c r="C124" s="63"/>
      <c r="D124" s="64" t="s">
        <v>87</v>
      </c>
      <c r="E124" s="65">
        <f>SUM(E125:E127)</f>
        <v>165973</v>
      </c>
      <c r="F124" s="65">
        <f>SUM(F125:F127)</f>
        <v>57078</v>
      </c>
      <c r="G124" s="65">
        <f>SUM(G125:G127)</f>
        <v>0</v>
      </c>
      <c r="H124" s="66">
        <f t="shared" si="3"/>
        <v>223051</v>
      </c>
      <c r="S124" s="245">
        <f>SUM(S125:S127)</f>
        <v>101171.8</v>
      </c>
      <c r="T124" s="123">
        <f t="shared" si="2"/>
        <v>0.4535814679154095</v>
      </c>
    </row>
    <row r="125" spans="1:20" ht="12.75">
      <c r="A125" s="56"/>
      <c r="B125" s="57"/>
      <c r="C125" s="73" t="s">
        <v>23</v>
      </c>
      <c r="D125" s="59" t="s">
        <v>24</v>
      </c>
      <c r="E125" s="60">
        <v>150</v>
      </c>
      <c r="F125" s="60">
        <v>598</v>
      </c>
      <c r="G125" s="60"/>
      <c r="H125" s="61">
        <f>E125+F125-G125</f>
        <v>748</v>
      </c>
      <c r="S125" s="246">
        <v>874.3</v>
      </c>
      <c r="T125" s="124">
        <f>S125/H125</f>
        <v>1.168850267379679</v>
      </c>
    </row>
    <row r="126" spans="1:20" ht="63.75">
      <c r="A126" s="107"/>
      <c r="B126" s="108"/>
      <c r="C126" s="109">
        <v>2690</v>
      </c>
      <c r="D126" s="110" t="s">
        <v>88</v>
      </c>
      <c r="E126" s="111">
        <v>165823</v>
      </c>
      <c r="F126" s="111"/>
      <c r="G126" s="111"/>
      <c r="H126" s="115">
        <f>E126+F126-G126</f>
        <v>165823</v>
      </c>
      <c r="S126" s="249">
        <v>82800</v>
      </c>
      <c r="T126" s="127">
        <f>S126/H126</f>
        <v>0.4993275962924323</v>
      </c>
    </row>
    <row r="127" spans="1:20" ht="41.25" customHeight="1">
      <c r="A127" s="81"/>
      <c r="B127" s="82"/>
      <c r="C127" s="83">
        <v>2708</v>
      </c>
      <c r="D127" s="256" t="s">
        <v>265</v>
      </c>
      <c r="E127" s="85"/>
      <c r="F127" s="85">
        <v>56480</v>
      </c>
      <c r="G127" s="85"/>
      <c r="H127" s="86">
        <f>E127+F127-G127</f>
        <v>56480</v>
      </c>
      <c r="S127" s="247">
        <v>17497.5</v>
      </c>
      <c r="T127" s="125">
        <f>S127/H127</f>
        <v>0.30979992917847027</v>
      </c>
    </row>
    <row r="128" spans="1:20" ht="50.25" customHeight="1">
      <c r="A128" s="94">
        <v>854</v>
      </c>
      <c r="B128" s="88"/>
      <c r="C128" s="89"/>
      <c r="D128" s="90" t="s">
        <v>89</v>
      </c>
      <c r="E128" s="91">
        <f>E129+E135+E137+E140+E144</f>
        <v>319592</v>
      </c>
      <c r="F128" s="91">
        <f>F129+F135+F137+F140+F144</f>
        <v>633286</v>
      </c>
      <c r="G128" s="91">
        <f>G129+G135+G137+G140+G144</f>
        <v>0</v>
      </c>
      <c r="H128" s="113">
        <f t="shared" si="3"/>
        <v>952878</v>
      </c>
      <c r="S128" s="248">
        <f>S129+S135+S137+S140+S144</f>
        <v>622382.3300000001</v>
      </c>
      <c r="T128" s="126">
        <f t="shared" si="2"/>
        <v>0.6531605620026909</v>
      </c>
    </row>
    <row r="129" spans="1:20" ht="19.5" customHeight="1">
      <c r="A129" s="56"/>
      <c r="B129" s="71">
        <v>85403</v>
      </c>
      <c r="C129" s="63"/>
      <c r="D129" s="64" t="s">
        <v>90</v>
      </c>
      <c r="E129" s="65">
        <f>SUM(E130:E134)</f>
        <v>135672</v>
      </c>
      <c r="F129" s="65">
        <f>SUM(F130:F134)</f>
        <v>13680</v>
      </c>
      <c r="G129" s="65">
        <f>SUM(G130:G134)</f>
        <v>0</v>
      </c>
      <c r="H129" s="66">
        <f>E129+F129-G129</f>
        <v>149352</v>
      </c>
      <c r="S129" s="245">
        <f>SUM(S130:S134)</f>
        <v>91284.85</v>
      </c>
      <c r="T129" s="123">
        <f t="shared" si="2"/>
        <v>0.6112060769189566</v>
      </c>
    </row>
    <row r="130" spans="1:20" ht="19.5" customHeight="1">
      <c r="A130" s="56"/>
      <c r="B130" s="57"/>
      <c r="C130" s="73" t="s">
        <v>17</v>
      </c>
      <c r="D130" s="59" t="s">
        <v>18</v>
      </c>
      <c r="E130" s="60">
        <v>194</v>
      </c>
      <c r="F130" s="60"/>
      <c r="G130" s="60"/>
      <c r="H130" s="61">
        <f t="shared" si="3"/>
        <v>194</v>
      </c>
      <c r="S130" s="246">
        <v>74.4</v>
      </c>
      <c r="T130" s="124">
        <f t="shared" si="2"/>
        <v>0.3835051546391753</v>
      </c>
    </row>
    <row r="131" spans="1:20" ht="26.25" customHeight="1">
      <c r="A131" s="56"/>
      <c r="B131" s="57"/>
      <c r="C131" s="73" t="s">
        <v>27</v>
      </c>
      <c r="D131" s="59" t="s">
        <v>28</v>
      </c>
      <c r="E131" s="60">
        <v>1757</v>
      </c>
      <c r="F131" s="60"/>
      <c r="G131" s="60"/>
      <c r="H131" s="61">
        <f t="shared" si="3"/>
        <v>1757</v>
      </c>
      <c r="S131" s="246">
        <v>10159.2</v>
      </c>
      <c r="T131" s="124">
        <f t="shared" si="2"/>
        <v>5.782128628343768</v>
      </c>
    </row>
    <row r="132" spans="1:20" ht="12.75">
      <c r="A132" s="56"/>
      <c r="B132" s="57"/>
      <c r="C132" s="73" t="s">
        <v>19</v>
      </c>
      <c r="D132" s="59" t="s">
        <v>20</v>
      </c>
      <c r="E132" s="60">
        <v>133671</v>
      </c>
      <c r="F132" s="60"/>
      <c r="G132" s="60"/>
      <c r="H132" s="61">
        <f t="shared" si="3"/>
        <v>133671</v>
      </c>
      <c r="S132" s="246">
        <v>67310.48</v>
      </c>
      <c r="T132" s="124">
        <f t="shared" si="2"/>
        <v>0.5035533511382424</v>
      </c>
    </row>
    <row r="133" spans="1:20" ht="16.5" customHeight="1">
      <c r="A133" s="56"/>
      <c r="B133" s="57"/>
      <c r="C133" s="73" t="s">
        <v>52</v>
      </c>
      <c r="D133" s="59" t="s">
        <v>53</v>
      </c>
      <c r="E133" s="60">
        <v>50</v>
      </c>
      <c r="F133" s="60"/>
      <c r="G133" s="60"/>
      <c r="H133" s="61">
        <f>E133+F133-G133</f>
        <v>50</v>
      </c>
      <c r="S133" s="246">
        <v>59.96</v>
      </c>
      <c r="T133" s="124">
        <f t="shared" si="2"/>
        <v>1.1992</v>
      </c>
    </row>
    <row r="134" spans="1:20" ht="16.5" customHeight="1">
      <c r="A134" s="56"/>
      <c r="B134" s="57"/>
      <c r="C134" s="73" t="s">
        <v>23</v>
      </c>
      <c r="D134" s="59" t="s">
        <v>24</v>
      </c>
      <c r="E134" s="60"/>
      <c r="F134" s="60">
        <v>13680</v>
      </c>
      <c r="G134" s="60"/>
      <c r="H134" s="61">
        <f t="shared" si="3"/>
        <v>13680</v>
      </c>
      <c r="S134" s="246">
        <v>13680.81</v>
      </c>
      <c r="T134" s="124">
        <f t="shared" si="2"/>
        <v>1.0000592105263157</v>
      </c>
    </row>
    <row r="135" spans="1:20" ht="25.5">
      <c r="A135" s="56"/>
      <c r="B135" s="71">
        <v>85406</v>
      </c>
      <c r="C135" s="78"/>
      <c r="D135" s="64" t="s">
        <v>91</v>
      </c>
      <c r="E135" s="65">
        <f>E136</f>
        <v>70</v>
      </c>
      <c r="F135" s="65">
        <f>F136</f>
        <v>0</v>
      </c>
      <c r="G135" s="65">
        <f>G136</f>
        <v>0</v>
      </c>
      <c r="H135" s="66">
        <f t="shared" si="3"/>
        <v>70</v>
      </c>
      <c r="S135" s="245">
        <f>S136</f>
        <v>40</v>
      </c>
      <c r="T135" s="123">
        <f t="shared" si="2"/>
        <v>0.5714285714285714</v>
      </c>
    </row>
    <row r="136" spans="1:20" ht="16.5" customHeight="1">
      <c r="A136" s="56"/>
      <c r="B136" s="57"/>
      <c r="C136" s="73" t="s">
        <v>23</v>
      </c>
      <c r="D136" s="59" t="s">
        <v>24</v>
      </c>
      <c r="E136" s="60">
        <v>70</v>
      </c>
      <c r="F136" s="60"/>
      <c r="G136" s="60"/>
      <c r="H136" s="61">
        <f t="shared" si="3"/>
        <v>70</v>
      </c>
      <c r="S136" s="246">
        <v>40</v>
      </c>
      <c r="T136" s="124">
        <f t="shared" si="2"/>
        <v>0.5714285714285714</v>
      </c>
    </row>
    <row r="137" spans="1:20" ht="16.5" customHeight="1">
      <c r="A137" s="56"/>
      <c r="B137" s="71">
        <v>85407</v>
      </c>
      <c r="C137" s="63"/>
      <c r="D137" s="64" t="s">
        <v>92</v>
      </c>
      <c r="E137" s="65">
        <f>SUM(E138:E139)</f>
        <v>275</v>
      </c>
      <c r="F137" s="65">
        <f>SUM(F138:F139)</f>
        <v>0</v>
      </c>
      <c r="G137" s="65">
        <f>SUM(G138:G139)</f>
        <v>0</v>
      </c>
      <c r="H137" s="66">
        <f t="shared" si="3"/>
        <v>275</v>
      </c>
      <c r="S137" s="245">
        <f>SUM(S138:S139)</f>
        <v>283.72</v>
      </c>
      <c r="T137" s="123">
        <f t="shared" si="2"/>
        <v>1.031709090909091</v>
      </c>
    </row>
    <row r="138" spans="1:20" ht="51">
      <c r="A138" s="56"/>
      <c r="B138" s="57"/>
      <c r="C138" s="73" t="s">
        <v>27</v>
      </c>
      <c r="D138" s="59" t="s">
        <v>28</v>
      </c>
      <c r="E138" s="60">
        <v>250</v>
      </c>
      <c r="F138" s="60"/>
      <c r="G138" s="60"/>
      <c r="H138" s="61">
        <f t="shared" si="3"/>
        <v>250</v>
      </c>
      <c r="S138" s="246">
        <v>273.72</v>
      </c>
      <c r="T138" s="124">
        <f t="shared" si="2"/>
        <v>1.09488</v>
      </c>
    </row>
    <row r="139" spans="1:20" ht="18" customHeight="1">
      <c r="A139" s="56"/>
      <c r="B139" s="57"/>
      <c r="C139" s="73" t="s">
        <v>23</v>
      </c>
      <c r="D139" s="59" t="s">
        <v>24</v>
      </c>
      <c r="E139" s="60">
        <v>25</v>
      </c>
      <c r="F139" s="60"/>
      <c r="G139" s="60"/>
      <c r="H139" s="61">
        <f t="shared" si="3"/>
        <v>25</v>
      </c>
      <c r="S139" s="246">
        <v>10</v>
      </c>
      <c r="T139" s="124">
        <f t="shared" si="2"/>
        <v>0.4</v>
      </c>
    </row>
    <row r="140" spans="1:20" ht="16.5" customHeight="1">
      <c r="A140" s="56"/>
      <c r="B140" s="71">
        <v>85410</v>
      </c>
      <c r="C140" s="63"/>
      <c r="D140" s="64" t="s">
        <v>93</v>
      </c>
      <c r="E140" s="65">
        <f>SUM(E141:E142)</f>
        <v>183575</v>
      </c>
      <c r="F140" s="65">
        <f>SUM(F141:F142)</f>
        <v>3000</v>
      </c>
      <c r="G140" s="65">
        <f>SUM(G141:G142)</f>
        <v>0</v>
      </c>
      <c r="H140" s="66">
        <f t="shared" si="3"/>
        <v>186575</v>
      </c>
      <c r="S140" s="245">
        <f>SUM(S141:S143)</f>
        <v>128289.96</v>
      </c>
      <c r="T140" s="123">
        <f t="shared" si="2"/>
        <v>0.6876053061771406</v>
      </c>
    </row>
    <row r="141" spans="1:20" ht="39.75" customHeight="1">
      <c r="A141" s="56"/>
      <c r="B141" s="57"/>
      <c r="C141" s="73" t="s">
        <v>27</v>
      </c>
      <c r="D141" s="59" t="s">
        <v>28</v>
      </c>
      <c r="E141" s="60">
        <v>92907</v>
      </c>
      <c r="F141" s="60"/>
      <c r="G141" s="60"/>
      <c r="H141" s="61">
        <f t="shared" si="3"/>
        <v>92907</v>
      </c>
      <c r="S141" s="246">
        <v>49613.47</v>
      </c>
      <c r="T141" s="124">
        <f aca="true" t="shared" si="5" ref="T141:T148">S141/H141</f>
        <v>0.534012184227238</v>
      </c>
    </row>
    <row r="142" spans="1:20" ht="26.25" customHeight="1">
      <c r="A142" s="56"/>
      <c r="B142" s="57"/>
      <c r="C142" s="73" t="s">
        <v>19</v>
      </c>
      <c r="D142" s="59" t="s">
        <v>20</v>
      </c>
      <c r="E142" s="60">
        <v>90668</v>
      </c>
      <c r="F142" s="60">
        <v>3000</v>
      </c>
      <c r="G142" s="60"/>
      <c r="H142" s="61">
        <f t="shared" si="3"/>
        <v>93668</v>
      </c>
      <c r="S142" s="246">
        <v>78629.33</v>
      </c>
      <c r="T142" s="124">
        <f t="shared" si="5"/>
        <v>0.8394470897211428</v>
      </c>
    </row>
    <row r="143" spans="1:20" ht="26.25" customHeight="1">
      <c r="A143" s="56"/>
      <c r="B143" s="57"/>
      <c r="C143" s="73" t="s">
        <v>52</v>
      </c>
      <c r="D143" s="59" t="s">
        <v>53</v>
      </c>
      <c r="E143" s="60"/>
      <c r="F143" s="60"/>
      <c r="G143" s="60"/>
      <c r="H143" s="61">
        <f>E143+F143-G143</f>
        <v>0</v>
      </c>
      <c r="S143" s="246">
        <v>47.16</v>
      </c>
      <c r="T143" s="124"/>
    </row>
    <row r="144" spans="1:20" ht="12.75">
      <c r="A144" s="56"/>
      <c r="B144" s="71">
        <v>85415</v>
      </c>
      <c r="C144" s="63"/>
      <c r="D144" s="64" t="s">
        <v>273</v>
      </c>
      <c r="E144" s="65">
        <f>SUM(E145:E147)</f>
        <v>0</v>
      </c>
      <c r="F144" s="65">
        <f>SUM(F145:F147)</f>
        <v>616606</v>
      </c>
      <c r="G144" s="65">
        <f>SUM(G145:G147)</f>
        <v>0</v>
      </c>
      <c r="H144" s="66">
        <f>E144+F144-G144</f>
        <v>616606</v>
      </c>
      <c r="S144" s="245">
        <f>SUM(S145:S147)</f>
        <v>402483.80000000005</v>
      </c>
      <c r="T144" s="123">
        <f t="shared" si="5"/>
        <v>0.6527406479988843</v>
      </c>
    </row>
    <row r="145" spans="1:20" ht="38.25">
      <c r="A145" s="56"/>
      <c r="B145" s="57"/>
      <c r="C145" s="73">
        <v>2130</v>
      </c>
      <c r="D145" s="59" t="s">
        <v>77</v>
      </c>
      <c r="E145" s="60"/>
      <c r="F145" s="60">
        <v>138400</v>
      </c>
      <c r="G145" s="60"/>
      <c r="H145" s="61">
        <f>E145+F145-G145</f>
        <v>138400</v>
      </c>
      <c r="S145" s="246">
        <v>138400</v>
      </c>
      <c r="T145" s="124">
        <f t="shared" si="5"/>
        <v>1</v>
      </c>
    </row>
    <row r="146" spans="1:20" ht="63.75">
      <c r="A146" s="56"/>
      <c r="B146" s="57"/>
      <c r="C146" s="73">
        <v>2338</v>
      </c>
      <c r="D146" s="59" t="s">
        <v>277</v>
      </c>
      <c r="E146" s="60"/>
      <c r="F146" s="60">
        <v>325419</v>
      </c>
      <c r="G146" s="60"/>
      <c r="H146" s="61">
        <f>E146+F146-G146</f>
        <v>325419</v>
      </c>
      <c r="S146" s="246">
        <v>179709.03</v>
      </c>
      <c r="T146" s="124">
        <f t="shared" si="5"/>
        <v>0.5522388981589889</v>
      </c>
    </row>
    <row r="147" spans="1:20" ht="63.75">
      <c r="A147" s="56"/>
      <c r="B147" s="57"/>
      <c r="C147" s="73">
        <v>2339</v>
      </c>
      <c r="D147" s="59" t="s">
        <v>277</v>
      </c>
      <c r="E147" s="60"/>
      <c r="F147" s="60">
        <v>152787</v>
      </c>
      <c r="G147" s="60"/>
      <c r="H147" s="61">
        <f>E147+F147-G147</f>
        <v>152787</v>
      </c>
      <c r="S147" s="246">
        <v>84374.77</v>
      </c>
      <c r="T147" s="124">
        <f t="shared" si="5"/>
        <v>0.552237886731201</v>
      </c>
    </row>
    <row r="148" spans="1:20" ht="12.75">
      <c r="A148" s="27"/>
      <c r="B148" s="7"/>
      <c r="C148" s="28"/>
      <c r="D148" s="8" t="s">
        <v>49</v>
      </c>
      <c r="E148" s="9">
        <f>E128+E117+E107+E104+E100+E86+E75+E69+E55+E38+E29+E24+E17+E14+E9</f>
        <v>35313491</v>
      </c>
      <c r="F148" s="9">
        <f>SUM(F9,F17,F24,F29,F38,F55,F69,F75,F86,F104,F107,F128,F117,F14,F100)</f>
        <v>2943297</v>
      </c>
      <c r="G148" s="9">
        <f>SUM(G9,G17,G24,G29,G38,G55,G69,G75,G86,G104,G107,G128,G117,G14,G100)</f>
        <v>147431</v>
      </c>
      <c r="H148" s="9">
        <f>SUM(H9,H17,H24,H29,H38,H55,H69,H75,H86,H104,H107,H128,H117,H14,H100)</f>
        <v>38109357</v>
      </c>
      <c r="S148" s="252">
        <f>SUM(S9,S17,S24,S29,S38,S55,S69,S75,S86,S104,S107,S128,S117,S14,S100)</f>
        <v>20818545.84</v>
      </c>
      <c r="T148" s="130">
        <f t="shared" si="5"/>
        <v>0.5462843637062678</v>
      </c>
    </row>
  </sheetData>
  <mergeCells count="3">
    <mergeCell ref="A6:T6"/>
    <mergeCell ref="C7:D7"/>
    <mergeCell ref="E1:F1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3"/>
  <sheetViews>
    <sheetView tabSelected="1" workbookViewId="0" topLeftCell="A1">
      <selection activeCell="H2" sqref="H2:H3"/>
    </sheetView>
  </sheetViews>
  <sheetFormatPr defaultColWidth="9.140625" defaultRowHeight="12.75"/>
  <cols>
    <col min="1" max="1" width="4.140625" style="36" customWidth="1"/>
    <col min="2" max="2" width="6.28125" style="36" customWidth="1"/>
    <col min="3" max="3" width="5.28125" style="36" customWidth="1"/>
    <col min="4" max="4" width="36.421875" style="37" customWidth="1"/>
    <col min="5" max="8" width="10.28125" style="184" customWidth="1"/>
    <col min="9" max="9" width="12.8515625" style="242" customWidth="1"/>
    <col min="10" max="10" width="8.57421875" style="218" customWidth="1"/>
    <col min="11" max="16384" width="9.140625" style="38" customWidth="1"/>
  </cols>
  <sheetData>
    <row r="1" spans="7:10" ht="11.25">
      <c r="G1" s="279"/>
      <c r="H1" s="240" t="s">
        <v>148</v>
      </c>
      <c r="J1" s="131"/>
    </row>
    <row r="2" spans="7:10" ht="11.25">
      <c r="G2" s="279"/>
      <c r="H2" s="240" t="s">
        <v>385</v>
      </c>
      <c r="J2" s="131"/>
    </row>
    <row r="3" spans="7:10" ht="11.25">
      <c r="G3" s="279"/>
      <c r="H3" s="240" t="s">
        <v>386</v>
      </c>
      <c r="J3" s="131"/>
    </row>
    <row r="4" spans="7:10" ht="11.25">
      <c r="G4" s="279"/>
      <c r="H4" s="240" t="s">
        <v>285</v>
      </c>
      <c r="J4" s="131"/>
    </row>
    <row r="5" spans="7:10" ht="11.25">
      <c r="G5" s="185"/>
      <c r="H5" s="185"/>
      <c r="I5" s="257"/>
      <c r="J5" s="217"/>
    </row>
    <row r="6" spans="1:10" ht="15.75">
      <c r="A6" s="382" t="s">
        <v>149</v>
      </c>
      <c r="B6" s="382"/>
      <c r="C6" s="382"/>
      <c r="D6" s="382"/>
      <c r="E6" s="382"/>
      <c r="F6" s="382"/>
      <c r="G6" s="382"/>
      <c r="H6" s="382"/>
      <c r="I6" s="382"/>
      <c r="J6" s="382"/>
    </row>
    <row r="7" spans="1:10" s="54" customFormat="1" ht="12.75">
      <c r="A7" s="132"/>
      <c r="B7" s="132"/>
      <c r="C7" s="132"/>
      <c r="D7" s="133"/>
      <c r="E7" s="186"/>
      <c r="F7" s="186"/>
      <c r="G7" s="186"/>
      <c r="H7" s="186"/>
      <c r="I7" s="258"/>
      <c r="J7" s="219"/>
    </row>
    <row r="8" spans="1:10" s="40" customFormat="1" ht="11.25">
      <c r="A8" s="182" t="s">
        <v>150</v>
      </c>
      <c r="B8" s="182" t="s">
        <v>151</v>
      </c>
      <c r="C8" s="182" t="s">
        <v>152</v>
      </c>
      <c r="D8" s="183" t="s">
        <v>153</v>
      </c>
      <c r="E8" s="187" t="s">
        <v>154</v>
      </c>
      <c r="F8" s="188" t="s">
        <v>94</v>
      </c>
      <c r="G8" s="188" t="s">
        <v>95</v>
      </c>
      <c r="H8" s="188" t="s">
        <v>155</v>
      </c>
      <c r="I8" s="259" t="s">
        <v>288</v>
      </c>
      <c r="J8" s="220" t="s">
        <v>289</v>
      </c>
    </row>
    <row r="9" spans="1:10" s="54" customFormat="1" ht="12.75">
      <c r="A9" s="41" t="s">
        <v>5</v>
      </c>
      <c r="B9" s="41"/>
      <c r="C9" s="41"/>
      <c r="D9" s="42" t="s">
        <v>6</v>
      </c>
      <c r="E9" s="189">
        <f>E10+E13</f>
        <v>29000</v>
      </c>
      <c r="F9" s="189">
        <f>F10+F13</f>
        <v>23000</v>
      </c>
      <c r="G9" s="189">
        <f>G10+G13</f>
        <v>29000</v>
      </c>
      <c r="H9" s="190">
        <f aca="true" t="shared" si="0" ref="H9:H36">E9+F9-G9</f>
        <v>23000</v>
      </c>
      <c r="I9" s="260">
        <f>I10+I13</f>
        <v>0</v>
      </c>
      <c r="J9" s="221">
        <f>I9/H9</f>
        <v>0</v>
      </c>
    </row>
    <row r="10" spans="1:10" s="137" customFormat="1" ht="25.5">
      <c r="A10" s="134"/>
      <c r="B10" s="135" t="s">
        <v>7</v>
      </c>
      <c r="C10" s="135"/>
      <c r="D10" s="136" t="str">
        <f>IF(A10&gt;0,(LOOKUP(A10,'[1]Dz.'!A:A,'[1]Dz.'!B:B)),(IF(B10&gt;0,(LOOKUP(B10,'[1]Roz.'!A:A,'[1]Roz.'!B:B)),(IF(C10&gt;0,(LOOKUP(C10,'[1]par.'!A:A,'[1]par.'!B:B)),0)))))</f>
        <v>Prace geodezyjne - urządzeniowe na potrzeby rolnictwa</v>
      </c>
      <c r="E10" s="191">
        <f>SUM(E11:E12)</f>
        <v>23000</v>
      </c>
      <c r="F10" s="191">
        <f>SUM(F11:F12)</f>
        <v>23000</v>
      </c>
      <c r="G10" s="191">
        <f>SUM(G11:G12)</f>
        <v>23000</v>
      </c>
      <c r="H10" s="192">
        <f t="shared" si="0"/>
        <v>23000</v>
      </c>
      <c r="I10" s="261">
        <f>SUM(I11:I12)</f>
        <v>0</v>
      </c>
      <c r="J10" s="222">
        <f>I10/H10</f>
        <v>0</v>
      </c>
    </row>
    <row r="11" spans="1:10" s="54" customFormat="1" ht="12.75">
      <c r="A11" s="138"/>
      <c r="B11" s="138"/>
      <c r="C11" s="138" t="s">
        <v>156</v>
      </c>
      <c r="D11" s="139" t="str">
        <f>IF(A11&gt;0,(LOOKUP(A11,'[1]Dz.'!A:A,'[1]Dz.'!B:B)),(IF(B11&gt;0,(LOOKUP(B11,'[1]Roz.'!A:A,'[1]Roz.'!B:B)),(IF(C11&gt;0,(LOOKUP(C11,'[1]par.'!A:A,'[1]par.'!B:B)),0)))))</f>
        <v>Zakup materiałów i wyposażenia</v>
      </c>
      <c r="E11" s="194">
        <v>23000</v>
      </c>
      <c r="F11" s="195"/>
      <c r="G11" s="194">
        <v>23000</v>
      </c>
      <c r="H11" s="195">
        <f t="shared" si="0"/>
        <v>0</v>
      </c>
      <c r="I11" s="262"/>
      <c r="J11" s="223"/>
    </row>
    <row r="12" spans="1:10" s="140" customFormat="1" ht="12.75">
      <c r="A12" s="138"/>
      <c r="B12" s="138"/>
      <c r="C12" s="138" t="s">
        <v>157</v>
      </c>
      <c r="D12" s="139" t="str">
        <f>IF(A12&gt;0,(LOOKUP(A12,'[1]Dz.'!A:A,'[1]Dz.'!B:B)),(IF(B12&gt;0,(LOOKUP(B12,'[1]Roz.'!A:A,'[1]Roz.'!B:B)),(IF(C12&gt;0,(LOOKUP(C12,'[1]par.'!A:A,'[1]par.'!B:B)),0)))))</f>
        <v>Zakup usług pozostałych</v>
      </c>
      <c r="E12" s="194"/>
      <c r="F12" s="194">
        <v>23000</v>
      </c>
      <c r="G12" s="195"/>
      <c r="H12" s="195">
        <f t="shared" si="0"/>
        <v>23000</v>
      </c>
      <c r="I12" s="262"/>
      <c r="J12" s="223">
        <f>I12/H12</f>
        <v>0</v>
      </c>
    </row>
    <row r="13" spans="1:10" s="137" customFormat="1" ht="12.75">
      <c r="A13" s="141"/>
      <c r="B13" s="142" t="s">
        <v>286</v>
      </c>
      <c r="C13" s="143"/>
      <c r="D13" s="144" t="str">
        <f>IF(A13&gt;0,(LOOKUP(A13,'[1]Dz.'!A:A,'[1]Dz.'!B:B)),(IF(B13&gt;0,(LOOKUP(B13,'[1]Roz.'!A:A,'[1]Roz.'!B:B)),(IF(C13&gt;0,(LOOKUP(C13,'[1]par.'!A:A,'[1]par.'!B:B)),0)))))</f>
        <v>Ochrona roślin</v>
      </c>
      <c r="E13" s="196">
        <f>E14</f>
        <v>6000</v>
      </c>
      <c r="F13" s="196">
        <f>F14</f>
        <v>0</v>
      </c>
      <c r="G13" s="196">
        <f>G14</f>
        <v>6000</v>
      </c>
      <c r="H13" s="197">
        <f t="shared" si="0"/>
        <v>0</v>
      </c>
      <c r="I13" s="263">
        <f>I14</f>
        <v>0</v>
      </c>
      <c r="J13" s="224"/>
    </row>
    <row r="14" spans="1:10" s="54" customFormat="1" ht="12.75">
      <c r="A14" s="145"/>
      <c r="B14" s="145"/>
      <c r="C14" s="145" t="s">
        <v>157</v>
      </c>
      <c r="D14" s="146" t="str">
        <f>IF(A14&gt;0,(LOOKUP(A14,'[1]Dz.'!A:A,'[1]Dz.'!B:B)),(IF(B14&gt;0,(LOOKUP(B14,'[1]Roz.'!A:A,'[1]Roz.'!B:B)),(IF(C14&gt;0,(LOOKUP(C14,'[1]par.'!A:A,'[1]par.'!B:B)),0)))))</f>
        <v>Zakup usług pozostałych</v>
      </c>
      <c r="E14" s="198">
        <v>6000</v>
      </c>
      <c r="F14" s="199"/>
      <c r="G14" s="199">
        <v>6000</v>
      </c>
      <c r="H14" s="199">
        <f t="shared" si="0"/>
        <v>0</v>
      </c>
      <c r="I14" s="264"/>
      <c r="J14" s="225"/>
    </row>
    <row r="15" spans="1:10" s="43" customFormat="1" ht="12.75">
      <c r="A15" s="41" t="s">
        <v>11</v>
      </c>
      <c r="B15" s="41"/>
      <c r="C15" s="41"/>
      <c r="D15" s="42" t="str">
        <f>IF(A15&gt;0,(LOOKUP(A15,'[1]Dz.'!A:A,'[1]Dz.'!B:B)),(IF(B15&gt;0,(LOOKUP(B15,'[1]Roz.'!A:A,'[1]Roz.'!B:B)),(IF(C15&gt;0,(LOOKUP(C15,'[1]par.'!A:A,'[1]par.'!B:B)),0)))))</f>
        <v>Leśnictwo</v>
      </c>
      <c r="E15" s="189">
        <f>E16+E20</f>
        <v>10400</v>
      </c>
      <c r="F15" s="189">
        <f>F16+F20</f>
        <v>245674</v>
      </c>
      <c r="G15" s="189">
        <f>G16+G20</f>
        <v>0</v>
      </c>
      <c r="H15" s="190">
        <f t="shared" si="0"/>
        <v>256074</v>
      </c>
      <c r="I15" s="260">
        <f>I16+I20</f>
        <v>123066.87999999999</v>
      </c>
      <c r="J15" s="221">
        <f aca="true" t="shared" si="1" ref="J15:J46">I15/H15</f>
        <v>0.4805910791411857</v>
      </c>
    </row>
    <row r="16" spans="1:10" s="137" customFormat="1" ht="12.75">
      <c r="A16" s="134"/>
      <c r="B16" s="135" t="s">
        <v>13</v>
      </c>
      <c r="C16" s="135"/>
      <c r="D16" s="136" t="str">
        <f>IF(A16&gt;0,(LOOKUP(A16,'[1]Dz.'!A:A,'[1]Dz.'!B:B)),(IF(B16&gt;0,(LOOKUP(B16,'[1]Roz.'!A:A,'[1]Roz.'!B:B)),(IF(C16&gt;0,(LOOKUP(C16,'[1]par.'!A:A,'[1]par.'!B:B)),0)))))</f>
        <v>Gospodarka leśna</v>
      </c>
      <c r="E16" s="191">
        <f>SUM(E17:E19)</f>
        <v>8400</v>
      </c>
      <c r="F16" s="191">
        <f>SUM(F17:F19)</f>
        <v>245674</v>
      </c>
      <c r="G16" s="191">
        <f>SUM(G17:G19)</f>
        <v>0</v>
      </c>
      <c r="H16" s="192">
        <f t="shared" si="0"/>
        <v>254074</v>
      </c>
      <c r="I16" s="265">
        <f>SUM(I17:I19)</f>
        <v>123066.87999999999</v>
      </c>
      <c r="J16" s="226">
        <f t="shared" si="1"/>
        <v>0.4843741587096672</v>
      </c>
    </row>
    <row r="17" spans="1:10" s="54" customFormat="1" ht="12.75">
      <c r="A17" s="138"/>
      <c r="B17" s="138"/>
      <c r="C17" s="138" t="s">
        <v>158</v>
      </c>
      <c r="D17" s="139" t="str">
        <f>IF(A17&gt;0,(LOOKUP(A17,'[1]Dz.'!A:A,'[1]Dz.'!B:B)),(IF(B17&gt;0,(LOOKUP(B17,'[1]Roz.'!A:A,'[1]Roz.'!B:B)),(IF(C17&gt;0,(LOOKUP(C17,'[1]par.'!A:A,'[1]par.'!B:B)),0)))))</f>
        <v>Różne wydatki na rzecz osób fizycznych</v>
      </c>
      <c r="E17" s="194"/>
      <c r="F17" s="194">
        <v>245674</v>
      </c>
      <c r="G17" s="195"/>
      <c r="H17" s="195">
        <f t="shared" si="0"/>
        <v>245674</v>
      </c>
      <c r="I17" s="262">
        <v>122836.68</v>
      </c>
      <c r="J17" s="223">
        <f t="shared" si="1"/>
        <v>0.49999869746086273</v>
      </c>
    </row>
    <row r="18" spans="1:10" s="54" customFormat="1" ht="12.75">
      <c r="A18" s="138"/>
      <c r="B18" s="138"/>
      <c r="C18" s="138" t="s">
        <v>156</v>
      </c>
      <c r="D18" s="139" t="str">
        <f>IF(A18&gt;0,(LOOKUP(A18,'[1]Dz.'!A:A,'[1]Dz.'!B:B)),(IF(B18&gt;0,(LOOKUP(B18,'[1]Roz.'!A:A,'[1]Roz.'!B:B)),(IF(C18&gt;0,(LOOKUP(C18,'[1]par.'!A:A,'[1]par.'!B:B)),0)))))</f>
        <v>Zakup materiałów i wyposażenia</v>
      </c>
      <c r="E18" s="194">
        <v>700</v>
      </c>
      <c r="F18" s="195"/>
      <c r="G18" s="195"/>
      <c r="H18" s="195">
        <f t="shared" si="0"/>
        <v>700</v>
      </c>
      <c r="I18" s="262">
        <v>230.2</v>
      </c>
      <c r="J18" s="223">
        <f t="shared" si="1"/>
        <v>0.32885714285714285</v>
      </c>
    </row>
    <row r="19" spans="1:10" s="54" customFormat="1" ht="12.75">
      <c r="A19" s="138"/>
      <c r="B19" s="138"/>
      <c r="C19" s="138" t="s">
        <v>157</v>
      </c>
      <c r="D19" s="139" t="str">
        <f>IF(A19&gt;0,(LOOKUP(A19,'[1]Dz.'!A:A,'[1]Dz.'!B:B)),(IF(B19&gt;0,(LOOKUP(B19,'[1]Roz.'!A:A,'[1]Roz.'!B:B)),(IF(C19&gt;0,(LOOKUP(C19,'[1]par.'!A:A,'[1]par.'!B:B)),0)))))</f>
        <v>Zakup usług pozostałych</v>
      </c>
      <c r="E19" s="194">
        <v>7700</v>
      </c>
      <c r="F19" s="195"/>
      <c r="G19" s="195"/>
      <c r="H19" s="195">
        <f t="shared" si="0"/>
        <v>7700</v>
      </c>
      <c r="I19" s="262"/>
      <c r="J19" s="223">
        <f t="shared" si="1"/>
        <v>0</v>
      </c>
    </row>
    <row r="20" spans="1:10" s="137" customFormat="1" ht="12.75">
      <c r="A20" s="134"/>
      <c r="B20" s="135" t="s">
        <v>99</v>
      </c>
      <c r="C20" s="135"/>
      <c r="D20" s="136" t="str">
        <f>IF(A20&gt;0,(LOOKUP(A20,'[1]Dz.'!A:A,'[1]Dz.'!B:B)),(IF(B20&gt;0,(LOOKUP(B20,'[1]Roz.'!A:A,'[1]Roz.'!B:B)),(IF(C20&gt;0,(LOOKUP(C20,'[1]par.'!A:A,'[1]par.'!B:B)),0)))))</f>
        <v>Nadzór nad gospodarką leśną</v>
      </c>
      <c r="E20" s="191">
        <f>E21</f>
        <v>2000</v>
      </c>
      <c r="F20" s="191">
        <f>F21</f>
        <v>0</v>
      </c>
      <c r="G20" s="191">
        <f>G21</f>
        <v>0</v>
      </c>
      <c r="H20" s="192">
        <f t="shared" si="0"/>
        <v>2000</v>
      </c>
      <c r="I20" s="265"/>
      <c r="J20" s="226">
        <f t="shared" si="1"/>
        <v>0</v>
      </c>
    </row>
    <row r="21" spans="1:10" s="54" customFormat="1" ht="12.75">
      <c r="A21" s="147"/>
      <c r="B21" s="147"/>
      <c r="C21" s="147" t="s">
        <v>157</v>
      </c>
      <c r="D21" s="148" t="str">
        <f>IF(A21&gt;0,(LOOKUP(A21,'[1]Dz.'!A:A,'[1]Dz.'!B:B)),(IF(B21&gt;0,(LOOKUP(B21,'[1]Roz.'!A:A,'[1]Roz.'!B:B)),(IF(C21&gt;0,(LOOKUP(C21,'[1]par.'!A:A,'[1]par.'!B:B)),0)))))</f>
        <v>Zakup usług pozostałych</v>
      </c>
      <c r="E21" s="200">
        <v>2000</v>
      </c>
      <c r="F21" s="201"/>
      <c r="G21" s="201"/>
      <c r="H21" s="201">
        <f t="shared" si="0"/>
        <v>2000</v>
      </c>
      <c r="I21" s="266"/>
      <c r="J21" s="227">
        <f t="shared" si="1"/>
        <v>0</v>
      </c>
    </row>
    <row r="22" spans="1:10" s="43" customFormat="1" ht="12.75">
      <c r="A22" s="41">
        <v>600</v>
      </c>
      <c r="B22" s="41"/>
      <c r="C22" s="41"/>
      <c r="D22" s="42" t="str">
        <f>IF(A22&gt;0,(LOOKUP(A22,'[1]Dz.'!A:A,'[1]Dz.'!B:B)),(IF(B22&gt;0,(LOOKUP(B22,'[1]Roz.'!A:A,'[1]Roz.'!B:B)),(IF(C22&gt;0,(LOOKUP(C22,'[1]par.'!A:A,'[1]par.'!B:B)),0)))))</f>
        <v>Transport i łączność</v>
      </c>
      <c r="E22" s="189">
        <f>E25</f>
        <v>3890000</v>
      </c>
      <c r="F22" s="189">
        <f>F25</f>
        <v>1654120</v>
      </c>
      <c r="G22" s="189">
        <f>G25</f>
        <v>124120</v>
      </c>
      <c r="H22" s="190">
        <f t="shared" si="0"/>
        <v>5420000</v>
      </c>
      <c r="I22" s="260">
        <f>I25</f>
        <v>1794660.4099999997</v>
      </c>
      <c r="J22" s="221">
        <f t="shared" si="1"/>
        <v>0.3311181568265682</v>
      </c>
    </row>
    <row r="23" spans="1:10" s="137" customFormat="1" ht="12.75" hidden="1">
      <c r="A23" s="134"/>
      <c r="B23" s="135" t="s">
        <v>159</v>
      </c>
      <c r="C23" s="135"/>
      <c r="D23" s="136" t="str">
        <f>IF(A23&gt;0,(LOOKUP(A23,'[1]Dz.'!A:A,'[1]Dz.'!B:B)),(IF(B23&gt;0,(LOOKUP(B23,'[1]Roz.'!A:A,'[1]Roz.'!B:B)),(IF(C23&gt;0,(LOOKUP(C23,'[1]par.'!A:A,'[1]par.'!B:B)),0)))))</f>
        <v>Drogi publiczne wojewódzkie</v>
      </c>
      <c r="E23" s="191">
        <v>0</v>
      </c>
      <c r="F23" s="192"/>
      <c r="G23" s="192"/>
      <c r="H23" s="192">
        <f t="shared" si="0"/>
        <v>0</v>
      </c>
      <c r="I23" s="265"/>
      <c r="J23" s="226" t="e">
        <f t="shared" si="1"/>
        <v>#DIV/0!</v>
      </c>
    </row>
    <row r="24" spans="1:10" s="54" customFormat="1" ht="36.75" customHeight="1" hidden="1">
      <c r="A24" s="138"/>
      <c r="B24" s="138"/>
      <c r="C24" s="138" t="s">
        <v>160</v>
      </c>
      <c r="D24" s="139" t="str">
        <f>IF(A24&gt;0,(LOOKUP(A24,'[1]Dz.'!A:A,'[1]Dz.'!B:B)),(IF(B24&gt;0,(LOOKUP(B24,'[1]Roz.'!A:A,'[1]Roz.'!B:B)),(IF(C24&gt;0,(LOOKUP(C24,'[1]par.'!A:A,'[1]par.'!B:B)),0)))))</f>
        <v>Dotacje celowe przekazane do samorzadu województwa na inwestycje i zakupy inwestycyjne realizowane na podstawie porozumień (umów) między jednostkami samorządu terytorialnego</v>
      </c>
      <c r="E24" s="194">
        <v>0</v>
      </c>
      <c r="F24" s="195"/>
      <c r="G24" s="195"/>
      <c r="H24" s="195">
        <f t="shared" si="0"/>
        <v>0</v>
      </c>
      <c r="I24" s="262"/>
      <c r="J24" s="223" t="e">
        <f t="shared" si="1"/>
        <v>#DIV/0!</v>
      </c>
    </row>
    <row r="25" spans="1:10" s="54" customFormat="1" ht="12.75">
      <c r="A25" s="138"/>
      <c r="B25" s="135" t="s">
        <v>100</v>
      </c>
      <c r="C25" s="135"/>
      <c r="D25" s="136" t="str">
        <f>IF(A25&gt;0,(LOOKUP(A25,'[1]Dz.'!A:A,'[1]Dz.'!B:B)),(IF(B25&gt;0,(LOOKUP(B25,'[1]Roz.'!A:A,'[1]Roz.'!B:B)),(IF(C25&gt;0,(LOOKUP(C25,'[1]par.'!A:A,'[1]par.'!B:B)),0)))))</f>
        <v>Drogi publiczne powiatowe</v>
      </c>
      <c r="E25" s="191">
        <f>SUM(E26:E51)</f>
        <v>3890000</v>
      </c>
      <c r="F25" s="191">
        <f>SUM(F26:F51)</f>
        <v>1654120</v>
      </c>
      <c r="G25" s="191">
        <f>SUM(G26:G51)</f>
        <v>124120</v>
      </c>
      <c r="H25" s="192">
        <f t="shared" si="0"/>
        <v>5420000</v>
      </c>
      <c r="I25" s="261">
        <f>SUM(I26:I51)</f>
        <v>1794660.4099999997</v>
      </c>
      <c r="J25" s="222">
        <f t="shared" si="1"/>
        <v>0.3311181568265682</v>
      </c>
    </row>
    <row r="26" spans="1:10" s="54" customFormat="1" ht="25.5">
      <c r="A26" s="138"/>
      <c r="B26" s="138"/>
      <c r="C26" s="138" t="s">
        <v>161</v>
      </c>
      <c r="D26" s="139" t="str">
        <f>IF(A26&gt;0,(LOOKUP(A26,'[1]Dz.'!A:A,'[1]Dz.'!B:B)),(IF(B26&gt;0,(LOOKUP(B26,'[1]Roz.'!A:A,'[1]Roz.'!B:B)),(IF(C26&gt;0,(LOOKUP(C26,'[1]par.'!A:A,'[1]par.'!B:B)),0)))))</f>
        <v>Nagrody i wydatki osobowe nie zaliczone do wynagrodzeń</v>
      </c>
      <c r="E26" s="194">
        <v>11500</v>
      </c>
      <c r="F26" s="195"/>
      <c r="G26" s="195"/>
      <c r="H26" s="195">
        <f t="shared" si="0"/>
        <v>11500</v>
      </c>
      <c r="I26" s="262">
        <v>807.12</v>
      </c>
      <c r="J26" s="223">
        <f t="shared" si="1"/>
        <v>0.07018434782608696</v>
      </c>
    </row>
    <row r="27" spans="1:10" s="54" customFormat="1" ht="12.75">
      <c r="A27" s="138"/>
      <c r="B27" s="138"/>
      <c r="C27" s="138" t="s">
        <v>163</v>
      </c>
      <c r="D27" s="139" t="str">
        <f>IF(A27&gt;0,(LOOKUP(A27,'[1]Dz.'!A:A,'[1]Dz.'!B:B)),(IF(B27&gt;0,(LOOKUP(B27,'[1]Roz.'!A:A,'[1]Roz.'!B:B)),(IF(C27&gt;0,(LOOKUP(C27,'[1]par.'!A:A,'[1]par.'!B:B)),0)))))</f>
        <v>Wynagrodzenia osobowe pracowników</v>
      </c>
      <c r="E27" s="194">
        <v>668400</v>
      </c>
      <c r="F27" s="195">
        <f>12500</f>
        <v>12500</v>
      </c>
      <c r="G27" s="195"/>
      <c r="H27" s="195">
        <f t="shared" si="0"/>
        <v>680900</v>
      </c>
      <c r="I27" s="262">
        <v>313188.22</v>
      </c>
      <c r="J27" s="223">
        <f t="shared" si="1"/>
        <v>0.45996213834630634</v>
      </c>
    </row>
    <row r="28" spans="1:10" s="54" customFormat="1" ht="12.75">
      <c r="A28" s="138"/>
      <c r="B28" s="138"/>
      <c r="C28" s="138" t="s">
        <v>164</v>
      </c>
      <c r="D28" s="139" t="str">
        <f>IF(A28&gt;0,(LOOKUP(A28,'[1]Dz.'!A:A,'[1]Dz.'!B:B)),(IF(B28&gt;0,(LOOKUP(B28,'[1]Roz.'!A:A,'[1]Roz.'!B:B)),(IF(C28&gt;0,(LOOKUP(C28,'[1]par.'!A:A,'[1]par.'!B:B)),0)))))</f>
        <v>Dodatkowe wynagrodzenie roczne</v>
      </c>
      <c r="E28" s="194">
        <v>58000</v>
      </c>
      <c r="F28" s="195"/>
      <c r="G28" s="195"/>
      <c r="H28" s="195">
        <f t="shared" si="0"/>
        <v>58000</v>
      </c>
      <c r="I28" s="262">
        <v>56209.6</v>
      </c>
      <c r="J28" s="223">
        <f t="shared" si="1"/>
        <v>0.9691310344827586</v>
      </c>
    </row>
    <row r="29" spans="1:10" s="54" customFormat="1" ht="12.75">
      <c r="A29" s="138"/>
      <c r="B29" s="138"/>
      <c r="C29" s="138" t="s">
        <v>165</v>
      </c>
      <c r="D29" s="139" t="str">
        <f>IF(A29&gt;0,(LOOKUP(A29,'[1]Dz.'!A:A,'[1]Dz.'!B:B)),(IF(B29&gt;0,(LOOKUP(B29,'[1]Roz.'!A:A,'[1]Roz.'!B:B)),(IF(C29&gt;0,(LOOKUP(C29,'[1]par.'!A:A,'[1]par.'!B:B)),0)))))</f>
        <v>Składki na ubezpieczenia społeczne</v>
      </c>
      <c r="E29" s="194">
        <v>137000</v>
      </c>
      <c r="F29" s="195">
        <v>1000</v>
      </c>
      <c r="G29" s="195"/>
      <c r="H29" s="195">
        <f t="shared" si="0"/>
        <v>138000</v>
      </c>
      <c r="I29" s="262">
        <v>57823.34</v>
      </c>
      <c r="J29" s="223">
        <f t="shared" si="1"/>
        <v>0.4190097101449275</v>
      </c>
    </row>
    <row r="30" spans="1:10" s="54" customFormat="1" ht="12.75">
      <c r="A30" s="138"/>
      <c r="B30" s="138"/>
      <c r="C30" s="138" t="s">
        <v>166</v>
      </c>
      <c r="D30" s="139" t="str">
        <f>IF(A30&gt;0,(LOOKUP(A30,'[1]Dz.'!A:A,'[1]Dz.'!B:B)),(IF(B30&gt;0,(LOOKUP(B30,'[1]Roz.'!A:A,'[1]Roz.'!B:B)),(IF(C30&gt;0,(LOOKUP(C30,'[1]par.'!A:A,'[1]par.'!B:B)),0)))))</f>
        <v>Składki na Fundusz Pracy</v>
      </c>
      <c r="E30" s="194">
        <v>18600</v>
      </c>
      <c r="F30" s="195">
        <v>140</v>
      </c>
      <c r="G30" s="195"/>
      <c r="H30" s="195">
        <f t="shared" si="0"/>
        <v>18740</v>
      </c>
      <c r="I30" s="262">
        <v>8108.38</v>
      </c>
      <c r="J30" s="223">
        <f t="shared" si="1"/>
        <v>0.4326776947705443</v>
      </c>
    </row>
    <row r="31" spans="1:10" s="54" customFormat="1" ht="12.75">
      <c r="A31" s="138"/>
      <c r="B31" s="138"/>
      <c r="C31" s="138" t="s">
        <v>167</v>
      </c>
      <c r="D31" s="139" t="str">
        <f>IF(A31&gt;0,(LOOKUP(A31,'[1]Dz.'!A:A,'[1]Dz.'!B:B)),(IF(B31&gt;0,(LOOKUP(B31,'[1]Roz.'!A:A,'[1]Roz.'!B:B)),(IF(C31&gt;0,(LOOKUP(C31,'[1]par.'!A:A,'[1]par.'!B:B)),0)))))</f>
        <v>Wpłaty na PFRON</v>
      </c>
      <c r="E31" s="194">
        <v>16000</v>
      </c>
      <c r="F31" s="195">
        <v>700</v>
      </c>
      <c r="G31" s="195"/>
      <c r="H31" s="195">
        <f t="shared" si="0"/>
        <v>16700</v>
      </c>
      <c r="I31" s="262">
        <v>8255</v>
      </c>
      <c r="J31" s="223">
        <f t="shared" si="1"/>
        <v>0.494311377245509</v>
      </c>
    </row>
    <row r="32" spans="1:10" s="54" customFormat="1" ht="12.75">
      <c r="A32" s="138"/>
      <c r="B32" s="138"/>
      <c r="C32" s="138" t="s">
        <v>156</v>
      </c>
      <c r="D32" s="139" t="str">
        <f>IF(A32&gt;0,(LOOKUP(A32,'[1]Dz.'!A:A,'[1]Dz.'!B:B)),(IF(B32&gt;0,(LOOKUP(B32,'[1]Roz.'!A:A,'[1]Roz.'!B:B)),(IF(C32&gt;0,(LOOKUP(C32,'[1]par.'!A:A,'[1]par.'!B:B)),0)))))</f>
        <v>Zakup materiałów i wyposażenia</v>
      </c>
      <c r="E32" s="194">
        <v>386196</v>
      </c>
      <c r="F32" s="195"/>
      <c r="G32" s="195">
        <v>15120</v>
      </c>
      <c r="H32" s="195">
        <f t="shared" si="0"/>
        <v>371076</v>
      </c>
      <c r="I32" s="262">
        <v>176273.81</v>
      </c>
      <c r="J32" s="223">
        <f>I32/H32</f>
        <v>0.4750342517435781</v>
      </c>
    </row>
    <row r="33" spans="1:10" s="54" customFormat="1" ht="12.75">
      <c r="A33" s="138"/>
      <c r="B33" s="138"/>
      <c r="C33" s="138" t="s">
        <v>169</v>
      </c>
      <c r="D33" s="139" t="str">
        <f>IF(A34&gt;0,(LOOKUP(A34,'[1]Dz.'!A:A,'[1]Dz.'!B:B)),(IF(B34&gt;0,(LOOKUP(B34,'[1]Roz.'!A:A,'[1]Roz.'!B:B)),(IF(C33&gt;0,(LOOKUP(C33,'[1]par.'!A:A,'[1]par.'!B:B)),0)))))</f>
        <v>Zakup energii</v>
      </c>
      <c r="E33" s="194">
        <v>37400</v>
      </c>
      <c r="F33" s="195"/>
      <c r="G33" s="195"/>
      <c r="H33" s="195">
        <f>E33+F33-G33</f>
        <v>37400</v>
      </c>
      <c r="I33" s="262">
        <v>17947.37</v>
      </c>
      <c r="J33" s="223">
        <f>I33/H33</f>
        <v>0.4798762032085561</v>
      </c>
    </row>
    <row r="34" spans="1:10" s="54" customFormat="1" ht="12.75">
      <c r="A34" s="138"/>
      <c r="B34" s="138"/>
      <c r="C34" s="138" t="s">
        <v>170</v>
      </c>
      <c r="D34" s="139" t="str">
        <f>IF(A35&gt;0,(LOOKUP(A35,'[1]Dz.'!A:A,'[1]Dz.'!B:B)),(IF(B35&gt;0,(LOOKUP(B35,'[1]Roz.'!A:A,'[1]Roz.'!B:B)),(IF(C34&gt;0,(LOOKUP(C34,'[1]par.'!A:A,'[1]par.'!B:B)),0)))))</f>
        <v>Zakup usług remontowych</v>
      </c>
      <c r="E34" s="194">
        <v>166000</v>
      </c>
      <c r="F34" s="195">
        <v>160000</v>
      </c>
      <c r="G34" s="195">
        <v>100000</v>
      </c>
      <c r="H34" s="195">
        <f>E34+F34-G34</f>
        <v>226000</v>
      </c>
      <c r="I34" s="262">
        <v>224221.5</v>
      </c>
      <c r="J34" s="223">
        <f>I34/H34</f>
        <v>0.9921305309734513</v>
      </c>
    </row>
    <row r="35" spans="1:10" s="54" customFormat="1" ht="12.75">
      <c r="A35" s="138"/>
      <c r="B35" s="138"/>
      <c r="C35" s="149">
        <v>4280</v>
      </c>
      <c r="D35" s="139" t="s">
        <v>217</v>
      </c>
      <c r="E35" s="194"/>
      <c r="F35" s="194">
        <v>4000</v>
      </c>
      <c r="G35" s="195"/>
      <c r="H35" s="195">
        <f>E35+F35-G35</f>
        <v>4000</v>
      </c>
      <c r="I35" s="262">
        <v>1068.6</v>
      </c>
      <c r="J35" s="223">
        <f>I35/H35</f>
        <v>0.26715</v>
      </c>
    </row>
    <row r="36" spans="1:10" s="54" customFormat="1" ht="12.75">
      <c r="A36" s="138"/>
      <c r="B36" s="138"/>
      <c r="C36" s="138" t="s">
        <v>157</v>
      </c>
      <c r="D36" s="139" t="str">
        <f>IF(A36&gt;0,(LOOKUP(A36,'[1]Dz.'!A:A,'[1]Dz.'!B:B)),(IF(B36&gt;0,(LOOKUP(B36,'[1]Roz.'!A:A,'[1]Roz.'!B:B)),(IF(C36&gt;0,(LOOKUP(C36,'[1]par.'!A:A,'[1]par.'!B:B)),0)))))</f>
        <v>Zakup usług pozostałych</v>
      </c>
      <c r="E36" s="194">
        <v>130500</v>
      </c>
      <c r="F36" s="195">
        <v>100000</v>
      </c>
      <c r="G36" s="195">
        <v>2000</v>
      </c>
      <c r="H36" s="195">
        <f t="shared" si="0"/>
        <v>228500</v>
      </c>
      <c r="I36" s="262">
        <v>188411.61</v>
      </c>
      <c r="J36" s="223">
        <f t="shared" si="1"/>
        <v>0.8245584682713347</v>
      </c>
    </row>
    <row r="37" spans="1:10" s="54" customFormat="1" ht="12.75">
      <c r="A37" s="138"/>
      <c r="B37" s="138"/>
      <c r="C37" s="138" t="s">
        <v>171</v>
      </c>
      <c r="D37" s="139" t="str">
        <f>IF(A37&gt;0,(LOOKUP(A37,'[1]Dz.'!A:A,'[1]Dz.'!B:B)),(IF(B37&gt;0,(LOOKUP(B37,'[1]Roz.'!A:A,'[1]Roz.'!B:B)),(IF(C37&gt;0,(LOOKUP(C37,'[1]par.'!A:A,'[1]par.'!B:B)),0)))))</f>
        <v>Zakup dostępu do sieci internet</v>
      </c>
      <c r="E37" s="194">
        <v>1700</v>
      </c>
      <c r="F37" s="195"/>
      <c r="G37" s="195"/>
      <c r="H37" s="195">
        <f aca="true" t="shared" si="2" ref="H37:H63">E37+F37-G37</f>
        <v>1700</v>
      </c>
      <c r="I37" s="262">
        <v>827.16</v>
      </c>
      <c r="J37" s="223">
        <f t="shared" si="1"/>
        <v>0.4865647058823529</v>
      </c>
    </row>
    <row r="38" spans="1:10" s="54" customFormat="1" ht="38.25">
      <c r="A38" s="138"/>
      <c r="B38" s="138"/>
      <c r="C38" s="138" t="s">
        <v>172</v>
      </c>
      <c r="D38" s="139" t="str">
        <f>IF(A38&gt;0,(LOOKUP(A38,'[1]Dz.'!A:A,'[1]Dz.'!B:B)),(IF(B38&gt;0,(LOOKUP(B38,'[1]Roz.'!A:A,'[1]Roz.'!B:B)),(IF(C38&gt;0,(LOOKUP(C38,'[1]par.'!A:A,'[1]par.'!B:B)),0)))))</f>
        <v>Opłaty z tytułu zakupu usług telekomunikacyjnych telefonii komórkowej</v>
      </c>
      <c r="E38" s="194">
        <v>5500</v>
      </c>
      <c r="F38" s="195"/>
      <c r="G38" s="195"/>
      <c r="H38" s="195">
        <f t="shared" si="2"/>
        <v>5500</v>
      </c>
      <c r="I38" s="262">
        <v>1644.95</v>
      </c>
      <c r="J38" s="223">
        <f t="shared" si="1"/>
        <v>0.29908181818181817</v>
      </c>
    </row>
    <row r="39" spans="1:10" s="54" customFormat="1" ht="38.25">
      <c r="A39" s="138"/>
      <c r="B39" s="138"/>
      <c r="C39" s="138" t="s">
        <v>173</v>
      </c>
      <c r="D39" s="139" t="str">
        <f>IF(A39&gt;0,(LOOKUP(A39,'[1]Dz.'!A:A,'[1]Dz.'!B:B)),(IF(B39&gt;0,(LOOKUP(B39,'[1]Roz.'!A:A,'[1]Roz.'!B:B)),(IF(C39&gt;0,(LOOKUP(C39,'[1]par.'!A:A,'[1]par.'!B:B)),0)))))</f>
        <v>Opłaty z tytułu zakupu usług telekomunikacyjnych telefonii stacjonarnej</v>
      </c>
      <c r="E39" s="194">
        <v>11000</v>
      </c>
      <c r="F39" s="195"/>
      <c r="G39" s="195"/>
      <c r="H39" s="195">
        <f t="shared" si="2"/>
        <v>11000</v>
      </c>
      <c r="I39" s="262">
        <v>4373.76</v>
      </c>
      <c r="J39" s="223">
        <f t="shared" si="1"/>
        <v>0.3976145454545455</v>
      </c>
    </row>
    <row r="40" spans="1:10" s="54" customFormat="1" ht="12.75">
      <c r="A40" s="138"/>
      <c r="B40" s="138"/>
      <c r="C40" s="138" t="s">
        <v>174</v>
      </c>
      <c r="D40" s="139" t="str">
        <f>IF(A40&gt;0,(LOOKUP(A40,'[1]Dz.'!A:A,'[1]Dz.'!B:B)),(IF(B40&gt;0,(LOOKUP(B40,'[1]Roz.'!A:A,'[1]Roz.'!B:B)),(IF(C40&gt;0,(LOOKUP(C40,'[1]par.'!A:A,'[1]par.'!B:B)),0)))))</f>
        <v>Podróże służbowe krajowe</v>
      </c>
      <c r="E40" s="194">
        <v>4000</v>
      </c>
      <c r="F40" s="195"/>
      <c r="G40" s="195"/>
      <c r="H40" s="195">
        <f t="shared" si="2"/>
        <v>4000</v>
      </c>
      <c r="I40" s="262">
        <v>1421.95</v>
      </c>
      <c r="J40" s="223">
        <f t="shared" si="1"/>
        <v>0.3554875</v>
      </c>
    </row>
    <row r="41" spans="1:10" s="54" customFormat="1" ht="12.75">
      <c r="A41" s="138"/>
      <c r="B41" s="138"/>
      <c r="C41" s="138" t="s">
        <v>175</v>
      </c>
      <c r="D41" s="139" t="str">
        <f>IF(A41&gt;0,(LOOKUP(A41,'[1]Dz.'!A:A,'[1]Dz.'!B:B)),(IF(B41&gt;0,(LOOKUP(B41,'[1]Roz.'!A:A,'[1]Roz.'!B:B)),(IF(C41&gt;0,(LOOKUP(C41,'[1]par.'!A:A,'[1]par.'!B:B)),0)))))</f>
        <v>Różne opłaty i składki</v>
      </c>
      <c r="E41" s="194">
        <v>20000</v>
      </c>
      <c r="F41" s="195"/>
      <c r="G41" s="195">
        <v>2000</v>
      </c>
      <c r="H41" s="195">
        <f t="shared" si="2"/>
        <v>18000</v>
      </c>
      <c r="I41" s="262">
        <v>4494.52</v>
      </c>
      <c r="J41" s="223">
        <f t="shared" si="1"/>
        <v>0.2496955555555556</v>
      </c>
    </row>
    <row r="42" spans="1:10" s="54" customFormat="1" ht="25.5">
      <c r="A42" s="138"/>
      <c r="B42" s="138"/>
      <c r="C42" s="138" t="s">
        <v>176</v>
      </c>
      <c r="D42" s="139" t="str">
        <f>IF(A42&gt;0,(LOOKUP(A42,'[1]Dz.'!A:A,'[1]Dz.'!B:B)),(IF(B42&gt;0,(LOOKUP(B42,'[1]Roz.'!A:A,'[1]Roz.'!B:B)),(IF(C42&gt;0,(LOOKUP(C42,'[1]par.'!A:A,'[1]par.'!B:B)),0)))))</f>
        <v>Odpisy na zakladowy fundusz świadczeń socjalnych</v>
      </c>
      <c r="E42" s="194">
        <v>22500</v>
      </c>
      <c r="F42" s="195">
        <v>780</v>
      </c>
      <c r="G42" s="195"/>
      <c r="H42" s="195">
        <f t="shared" si="2"/>
        <v>23280</v>
      </c>
      <c r="I42" s="262">
        <v>17460</v>
      </c>
      <c r="J42" s="223">
        <f t="shared" si="1"/>
        <v>0.75</v>
      </c>
    </row>
    <row r="43" spans="1:10" s="54" customFormat="1" ht="12.75">
      <c r="A43" s="138"/>
      <c r="B43" s="138"/>
      <c r="C43" s="138" t="s">
        <v>177</v>
      </c>
      <c r="D43" s="139" t="str">
        <f>IF(A43&gt;0,(LOOKUP(A43,'[1]Dz.'!A:A,'[1]Dz.'!B:B)),(IF(B43&gt;0,(LOOKUP(B43,'[1]Roz.'!A:A,'[1]Roz.'!B:B)),(IF(C43&gt;0,(LOOKUP(C43,'[1]par.'!A:A,'[1]par.'!B:B)),0)))))</f>
        <v>Podatek od nieruchomości</v>
      </c>
      <c r="E43" s="194">
        <v>21200</v>
      </c>
      <c r="F43" s="195"/>
      <c r="G43" s="195"/>
      <c r="H43" s="195">
        <f t="shared" si="2"/>
        <v>21200</v>
      </c>
      <c r="I43" s="262">
        <v>10598</v>
      </c>
      <c r="J43" s="223">
        <f t="shared" si="1"/>
        <v>0.4999056603773585</v>
      </c>
    </row>
    <row r="44" spans="1:10" s="54" customFormat="1" ht="25.5">
      <c r="A44" s="138"/>
      <c r="B44" s="138"/>
      <c r="C44" s="138" t="s">
        <v>178</v>
      </c>
      <c r="D44" s="139" t="str">
        <f>IF(A44&gt;0,(LOOKUP(A44,'[1]Dz.'!A:A,'[1]Dz.'!B:B)),(IF(B44&gt;0,(LOOKUP(B44,'[1]Roz.'!A:A,'[1]Roz.'!B:B)),(IF(C44&gt;0,(LOOKUP(C44,'[1]par.'!A:A,'[1]par.'!B:B)),0)))))</f>
        <v>Pozostałe podatki na rzecz budżetów jednostek samorządu terytorialnego</v>
      </c>
      <c r="E44" s="194">
        <v>4700</v>
      </c>
      <c r="F44" s="195"/>
      <c r="G44" s="195"/>
      <c r="H44" s="195">
        <f t="shared" si="2"/>
        <v>4700</v>
      </c>
      <c r="I44" s="262">
        <v>2350</v>
      </c>
      <c r="J44" s="223">
        <f t="shared" si="1"/>
        <v>0.5</v>
      </c>
    </row>
    <row r="45" spans="1:10" s="54" customFormat="1" ht="25.5">
      <c r="A45" s="138"/>
      <c r="B45" s="138"/>
      <c r="C45" s="138" t="s">
        <v>179</v>
      </c>
      <c r="D45" s="139" t="str">
        <f>IF(A45&gt;0,(LOOKUP(A45,'[1]Dz.'!A:A,'[1]Dz.'!B:B)),(IF(B45&gt;0,(LOOKUP(B45,'[1]Roz.'!A:A,'[1]Roz.'!B:B)),(IF(C45&gt;0,(LOOKUP(C45,'[1]par.'!A:A,'[1]par.'!B:B)),0)))))</f>
        <v>Opłaty na rzecz budżetów jednostek samorządu terytorialnego</v>
      </c>
      <c r="E45" s="194">
        <v>304</v>
      </c>
      <c r="F45" s="195"/>
      <c r="G45" s="195"/>
      <c r="H45" s="195">
        <f t="shared" si="2"/>
        <v>304</v>
      </c>
      <c r="I45" s="262">
        <v>303.97</v>
      </c>
      <c r="J45" s="223">
        <f t="shared" si="1"/>
        <v>0.9999013157894737</v>
      </c>
    </row>
    <row r="46" spans="1:10" s="54" customFormat="1" ht="16.5" customHeight="1">
      <c r="A46" s="138"/>
      <c r="B46" s="138"/>
      <c r="C46" s="150" t="s">
        <v>180</v>
      </c>
      <c r="D46" s="139" t="str">
        <f>IF(A46&gt;0,(LOOKUP(A46,'[1]Dz.'!A:A,'[1]Dz.'!B:B)),(IF(B46&gt;0,(LOOKUP(B46,'[1]Roz.'!A:A,'[1]Roz.'!B:B)),(IF(C46&gt;0,(LOOKUP(C46,'[1]par.'!A:A,'[1]par.'!B:B)),0)))))</f>
        <v>Szkolenia pracowników</v>
      </c>
      <c r="E46" s="194">
        <v>11000</v>
      </c>
      <c r="F46" s="195"/>
      <c r="G46" s="195"/>
      <c r="H46" s="195">
        <f t="shared" si="2"/>
        <v>11000</v>
      </c>
      <c r="I46" s="262">
        <v>2374.4</v>
      </c>
      <c r="J46" s="223">
        <f t="shared" si="1"/>
        <v>0.21585454545454547</v>
      </c>
    </row>
    <row r="47" spans="1:10" s="54" customFormat="1" ht="38.25">
      <c r="A47" s="138"/>
      <c r="B47" s="138"/>
      <c r="C47" s="150" t="s">
        <v>181</v>
      </c>
      <c r="D47" s="139" t="str">
        <f>IF(A47&gt;0,(LOOKUP(A47,'[1]Dz.'!A:A,'[1]Dz.'!B:B)),(IF(B47&gt;0,(LOOKUP(B47,'[1]Roz.'!A:A,'[1]Roz.'!B:B)),(IF(C47&gt;0,(LOOKUP(C47,'[1]par.'!A:A,'[1]par.'!B:B)),0)))))</f>
        <v>Zakup materiałów papierniczych do sprzętu drukarskego i urządzeń kserograficznych</v>
      </c>
      <c r="E47" s="194">
        <v>1000</v>
      </c>
      <c r="F47" s="195"/>
      <c r="G47" s="195"/>
      <c r="H47" s="195">
        <f t="shared" si="2"/>
        <v>1000</v>
      </c>
      <c r="I47" s="262">
        <v>269</v>
      </c>
      <c r="J47" s="223">
        <f aca="true" t="shared" si="3" ref="J47:J78">I47/H47</f>
        <v>0.269</v>
      </c>
    </row>
    <row r="48" spans="1:10" s="54" customFormat="1" ht="25.5">
      <c r="A48" s="138"/>
      <c r="B48" s="138"/>
      <c r="C48" s="150" t="s">
        <v>182</v>
      </c>
      <c r="D48" s="139" t="str">
        <f>IF(A48&gt;0,(LOOKUP(A48,'[1]Dz.'!A:A,'[1]Dz.'!B:B)),(IF(B48&gt;0,(LOOKUP(B48,'[1]Roz.'!A:A,'[1]Roz.'!B:B)),(IF(C48&gt;0,(LOOKUP(C48,'[1]par.'!A:A,'[1]par.'!B:B)),0)))))</f>
        <v>Zakup akcesoriów komputerowych, w tym programów i licencji</v>
      </c>
      <c r="E48" s="194">
        <v>7500</v>
      </c>
      <c r="F48" s="195"/>
      <c r="G48" s="195"/>
      <c r="H48" s="195">
        <f t="shared" si="2"/>
        <v>7500</v>
      </c>
      <c r="I48" s="262">
        <v>3093.04</v>
      </c>
      <c r="J48" s="223">
        <f t="shared" si="3"/>
        <v>0.41240533333333335</v>
      </c>
    </row>
    <row r="49" spans="1:10" s="54" customFormat="1" ht="25.5">
      <c r="A49" s="138"/>
      <c r="B49" s="138"/>
      <c r="C49" s="138" t="s">
        <v>183</v>
      </c>
      <c r="D49" s="139" t="str">
        <f>IF(A49&gt;0,(LOOKUP(A49,'[1]Dz.'!A:A,'[1]Dz.'!B:B)),(IF(B49&gt;0,(LOOKUP(B49,'[1]Roz.'!A:A,'[1]Roz.'!B:B)),(IF(C49&gt;0,(LOOKUP(C49,'[1]par.'!A:A,'[1]par.'!B:B)),0)))))</f>
        <v>Wydatki inwestycyjne jednostek budżetowych</v>
      </c>
      <c r="E49" s="194">
        <v>2127500</v>
      </c>
      <c r="F49" s="195">
        <v>1370000</v>
      </c>
      <c r="G49" s="195">
        <v>5000</v>
      </c>
      <c r="H49" s="195">
        <f t="shared" si="2"/>
        <v>3492500</v>
      </c>
      <c r="I49" s="262">
        <v>683136.11</v>
      </c>
      <c r="J49" s="223">
        <f t="shared" si="3"/>
        <v>0.19560089047959914</v>
      </c>
    </row>
    <row r="50" spans="1:10" s="54" customFormat="1" ht="25.5" hidden="1">
      <c r="A50" s="138"/>
      <c r="B50" s="138"/>
      <c r="C50" s="138" t="s">
        <v>184</v>
      </c>
      <c r="D50" s="139" t="str">
        <f>IF(A50&gt;0,(LOOKUP(A50,'[1]Dz.'!A:A,'[1]Dz.'!B:B)),(IF(B50&gt;0,(LOOKUP(B50,'[1]Roz.'!A:A,'[1]Roz.'!B:B)),(IF(C50&gt;0,(LOOKUP(C50,'[1]par.'!A:A,'[1]par.'!B:B)),0)))))</f>
        <v>Wydatki inwestycyjne jednostek budżetowych</v>
      </c>
      <c r="E50" s="194">
        <v>0</v>
      </c>
      <c r="F50" s="195"/>
      <c r="G50" s="195"/>
      <c r="H50" s="195">
        <f t="shared" si="2"/>
        <v>0</v>
      </c>
      <c r="I50" s="262"/>
      <c r="J50" s="223" t="e">
        <f t="shared" si="3"/>
        <v>#DIV/0!</v>
      </c>
    </row>
    <row r="51" spans="1:10" s="54" customFormat="1" ht="25.5">
      <c r="A51" s="147"/>
      <c r="B51" s="147"/>
      <c r="C51" s="147" t="s">
        <v>185</v>
      </c>
      <c r="D51" s="148" t="str">
        <f>IF(A51&gt;0,(LOOKUP(A51,'[1]Dz.'!A:A,'[1]Dz.'!B:B)),(IF(B51&gt;0,(LOOKUP(B51,'[1]Roz.'!A:A,'[1]Roz.'!B:B)),(IF(C51&gt;0,(LOOKUP(C51,'[1]par.'!A:A,'[1]par.'!B:B)),0)))))</f>
        <v>Wydatki na zakupy inwestycyjne jednostek budżetowych</v>
      </c>
      <c r="E51" s="200">
        <v>22500</v>
      </c>
      <c r="F51" s="201">
        <v>5000</v>
      </c>
      <c r="G51" s="201"/>
      <c r="H51" s="201">
        <f t="shared" si="2"/>
        <v>27500</v>
      </c>
      <c r="I51" s="266">
        <v>9999</v>
      </c>
      <c r="J51" s="227">
        <f t="shared" si="3"/>
        <v>0.3636</v>
      </c>
    </row>
    <row r="52" spans="1:10" s="43" customFormat="1" ht="12.75">
      <c r="A52" s="41">
        <v>700</v>
      </c>
      <c r="B52" s="41"/>
      <c r="C52" s="41"/>
      <c r="D52" s="42" t="str">
        <f>IF(A52&gt;0,(LOOKUP(A52,'[1]Dz.'!A:A,'[1]Dz.'!B:B)),(IF(B52&gt;0,(LOOKUP(B52,'[1]Roz.'!A:A,'[1]Roz.'!B:B)),(IF(C52&gt;0,(LOOKUP(C52,'[1]par.'!A:A,'[1]par.'!B:B)),0)))))</f>
        <v>Gospodarka mieszkaniowa</v>
      </c>
      <c r="E52" s="189">
        <f aca="true" t="shared" si="4" ref="E52:G53">E53</f>
        <v>21500</v>
      </c>
      <c r="F52" s="189">
        <f t="shared" si="4"/>
        <v>0</v>
      </c>
      <c r="G52" s="189">
        <f t="shared" si="4"/>
        <v>0</v>
      </c>
      <c r="H52" s="190">
        <f t="shared" si="2"/>
        <v>21500</v>
      </c>
      <c r="I52" s="260">
        <f>I53</f>
        <v>1738.03</v>
      </c>
      <c r="J52" s="221">
        <f t="shared" si="3"/>
        <v>0.08083860465116278</v>
      </c>
    </row>
    <row r="53" spans="1:10" s="137" customFormat="1" ht="25.5">
      <c r="A53" s="134"/>
      <c r="B53" s="135" t="s">
        <v>101</v>
      </c>
      <c r="C53" s="135"/>
      <c r="D53" s="136" t="str">
        <f>IF(A53&gt;0,(LOOKUP(A53,'[1]Dz.'!A:A,'[1]Dz.'!B:B)),(IF(B53&gt;0,(LOOKUP(B53,'[1]Roz.'!A:A,'[1]Roz.'!B:B)),(IF(C53&gt;0,(LOOKUP(C53,'[1]par.'!A:A,'[1]par.'!B:B)),0)))))</f>
        <v>Gospodarka gruntami i nieruchomościami</v>
      </c>
      <c r="E53" s="191">
        <f t="shared" si="4"/>
        <v>21500</v>
      </c>
      <c r="F53" s="191">
        <f t="shared" si="4"/>
        <v>0</v>
      </c>
      <c r="G53" s="191">
        <f t="shared" si="4"/>
        <v>0</v>
      </c>
      <c r="H53" s="192">
        <f t="shared" si="2"/>
        <v>21500</v>
      </c>
      <c r="I53" s="261">
        <f>I54</f>
        <v>1738.03</v>
      </c>
      <c r="J53" s="222">
        <f t="shared" si="3"/>
        <v>0.08083860465116278</v>
      </c>
    </row>
    <row r="54" spans="1:10" s="54" customFormat="1" ht="12.75">
      <c r="A54" s="147"/>
      <c r="B54" s="147"/>
      <c r="C54" s="151">
        <v>4300</v>
      </c>
      <c r="D54" s="148" t="s">
        <v>186</v>
      </c>
      <c r="E54" s="200">
        <v>21500</v>
      </c>
      <c r="F54" s="201"/>
      <c r="G54" s="201"/>
      <c r="H54" s="201">
        <f t="shared" si="2"/>
        <v>21500</v>
      </c>
      <c r="I54" s="266">
        <v>1738.03</v>
      </c>
      <c r="J54" s="227">
        <f t="shared" si="3"/>
        <v>0.08083860465116278</v>
      </c>
    </row>
    <row r="55" spans="1:10" s="54" customFormat="1" ht="25.5" hidden="1">
      <c r="A55" s="152"/>
      <c r="B55" s="152"/>
      <c r="C55" s="153">
        <v>6060</v>
      </c>
      <c r="D55" s="154" t="s">
        <v>187</v>
      </c>
      <c r="E55" s="202">
        <v>0</v>
      </c>
      <c r="F55" s="203"/>
      <c r="G55" s="203"/>
      <c r="H55" s="203">
        <f t="shared" si="2"/>
        <v>0</v>
      </c>
      <c r="I55" s="267"/>
      <c r="J55" s="228" t="e">
        <f t="shared" si="3"/>
        <v>#DIV/0!</v>
      </c>
    </row>
    <row r="56" spans="1:10" s="43" customFormat="1" ht="12.75">
      <c r="A56" s="46">
        <v>710</v>
      </c>
      <c r="B56" s="47"/>
      <c r="C56" s="46"/>
      <c r="D56" s="48" t="str">
        <f>IF(A56&gt;0,(LOOKUP(A56,'[1]Dz.'!A:A,'[1]Dz.'!B:B)),(IF(B56&gt;0,(LOOKUP(B56,'[1]Roz.'!A:A,'[1]Roz.'!B:B)),(IF(C56&gt;0,(LOOKUP(C56,'[1]par.'!A:A,'[1]par.'!B:B)),0)))))</f>
        <v>Działalność usługowa</v>
      </c>
      <c r="E56" s="204">
        <f>E57+E59+E61</f>
        <v>388500</v>
      </c>
      <c r="F56" s="204">
        <f>F57+F59+F61</f>
        <v>45000</v>
      </c>
      <c r="G56" s="204">
        <f>G57+G59+G61</f>
        <v>0</v>
      </c>
      <c r="H56" s="205">
        <f t="shared" si="2"/>
        <v>433500</v>
      </c>
      <c r="I56" s="268">
        <f>I57+I59+I61</f>
        <v>145664.28999999998</v>
      </c>
      <c r="J56" s="229">
        <f t="shared" si="3"/>
        <v>0.3360191234140715</v>
      </c>
    </row>
    <row r="57" spans="1:10" s="137" customFormat="1" ht="25.5">
      <c r="A57" s="155"/>
      <c r="B57" s="156">
        <v>71013</v>
      </c>
      <c r="C57" s="157"/>
      <c r="D57" s="136" t="s">
        <v>32</v>
      </c>
      <c r="E57" s="191">
        <f>E58</f>
        <v>172000</v>
      </c>
      <c r="F57" s="191">
        <f>F58</f>
        <v>0</v>
      </c>
      <c r="G57" s="191">
        <f>G58</f>
        <v>0</v>
      </c>
      <c r="H57" s="192">
        <f t="shared" si="2"/>
        <v>172000</v>
      </c>
      <c r="I57" s="261">
        <f>I58</f>
        <v>0</v>
      </c>
      <c r="J57" s="222">
        <f t="shared" si="3"/>
        <v>0</v>
      </c>
    </row>
    <row r="58" spans="1:10" s="54" customFormat="1" ht="12.75">
      <c r="A58" s="158"/>
      <c r="B58" s="159"/>
      <c r="C58" s="150" t="s">
        <v>157</v>
      </c>
      <c r="D58" s="139" t="str">
        <f>IF(A58&gt;0,(LOOKUP(A58,'[1]Dz.'!A:A,'[1]Dz.'!B:B)),(IF(B58&gt;0,(LOOKUP(B58,'[1]Roz.'!A:A,'[1]Roz.'!B:B)),(IF(C58&gt;0,(LOOKUP(C58,'[1]par.'!A:A,'[1]par.'!B:B)),0)))))</f>
        <v>Zakup usług pozostałych</v>
      </c>
      <c r="E58" s="194">
        <v>172000</v>
      </c>
      <c r="F58" s="195"/>
      <c r="G58" s="195"/>
      <c r="H58" s="195">
        <f t="shared" si="2"/>
        <v>172000</v>
      </c>
      <c r="I58" s="262"/>
      <c r="J58" s="223">
        <f t="shared" si="3"/>
        <v>0</v>
      </c>
    </row>
    <row r="59" spans="1:10" s="137" customFormat="1" ht="25.5">
      <c r="A59" s="155"/>
      <c r="B59" s="156" t="s">
        <v>102</v>
      </c>
      <c r="C59" s="157"/>
      <c r="D59" s="136" t="str">
        <f>IF(A59&gt;0,(LOOKUP(A59,'[1]Dz.'!A:A,'[1]Dz.'!B:B)),(IF(B59&gt;0,(LOOKUP(B59,'[1]Roz.'!A:A,'[1]Roz.'!B:B)),(IF(C59&gt;0,(LOOKUP(C59,'[1]par.'!A:A,'[1]par.'!B:B)),0)))))</f>
        <v>Opracowania geodezyjne i kartograficzne</v>
      </c>
      <c r="E59" s="191">
        <f>E60</f>
        <v>5500</v>
      </c>
      <c r="F59" s="191">
        <f>F60</f>
        <v>0</v>
      </c>
      <c r="G59" s="191">
        <f>G60</f>
        <v>0</v>
      </c>
      <c r="H59" s="192">
        <f t="shared" si="2"/>
        <v>5500</v>
      </c>
      <c r="I59" s="261">
        <f>I60</f>
        <v>0</v>
      </c>
      <c r="J59" s="222">
        <f t="shared" si="3"/>
        <v>0</v>
      </c>
    </row>
    <row r="60" spans="1:10" s="54" customFormat="1" ht="12.75">
      <c r="A60" s="158"/>
      <c r="B60" s="159"/>
      <c r="C60" s="150" t="s">
        <v>157</v>
      </c>
      <c r="D60" s="139" t="str">
        <f>IF(A60&gt;0,(LOOKUP(A60,'[1]Dz.'!A:A,'[1]Dz.'!B:B)),(IF(B60&gt;0,(LOOKUP(B60,'[1]Roz.'!A:A,'[1]Roz.'!B:B)),(IF(C60&gt;0,(LOOKUP(C60,'[1]par.'!A:A,'[1]par.'!B:B)),0)))))</f>
        <v>Zakup usług pozostałych</v>
      </c>
      <c r="E60" s="194">
        <v>5500</v>
      </c>
      <c r="F60" s="195"/>
      <c r="G60" s="195"/>
      <c r="H60" s="195">
        <f t="shared" si="2"/>
        <v>5500</v>
      </c>
      <c r="I60" s="262"/>
      <c r="J60" s="223">
        <f t="shared" si="3"/>
        <v>0</v>
      </c>
    </row>
    <row r="61" spans="1:10" s="137" customFormat="1" ht="12.75">
      <c r="A61" s="155"/>
      <c r="B61" s="160" t="s">
        <v>103</v>
      </c>
      <c r="C61" s="157"/>
      <c r="D61" s="136" t="str">
        <f>IF(A65&gt;0,(LOOKUP(A65,'[1]Dz.'!A:A,'[1]Dz.'!B:B)),(IF(B61&gt;0,(LOOKUP(B61,'[1]Roz.'!A:A,'[1]Roz.'!B:B)),(IF(C61&gt;0,(LOOKUP(C61,'[1]par.'!A:A,'[1]par.'!B:B)),0)))))</f>
        <v>Nadzór budowlany</v>
      </c>
      <c r="E61" s="191">
        <f>SUM(E62:E76)</f>
        <v>211000</v>
      </c>
      <c r="F61" s="191">
        <f>SUM(F62:F76)</f>
        <v>45000</v>
      </c>
      <c r="G61" s="191">
        <f>SUM(G62:G76)</f>
        <v>0</v>
      </c>
      <c r="H61" s="192">
        <f t="shared" si="2"/>
        <v>256000</v>
      </c>
      <c r="I61" s="261">
        <f>SUM(I62:I76)</f>
        <v>145664.28999999998</v>
      </c>
      <c r="J61" s="222">
        <f t="shared" si="3"/>
        <v>0.5690011328124999</v>
      </c>
    </row>
    <row r="62" spans="1:10" s="54" customFormat="1" ht="25.5">
      <c r="A62" s="158"/>
      <c r="B62" s="159"/>
      <c r="C62" s="150" t="s">
        <v>161</v>
      </c>
      <c r="D62" s="139" t="str">
        <f>IF(A62&gt;0,(LOOKUP(A62,'[1]Dz.'!A:A,'[1]Dz.'!B:B)),(IF(B62&gt;0,(LOOKUP(B62,'[1]Roz.'!A:A,'[1]Roz.'!B:B)),(IF(C62&gt;0,(LOOKUP(C62,'[1]par.'!A:A,'[1]par.'!B:B)),0)))))</f>
        <v>Nagrody i wydatki osobowe nie zaliczone do wynagrodzeń</v>
      </c>
      <c r="E62" s="194">
        <v>400</v>
      </c>
      <c r="F62" s="195"/>
      <c r="G62" s="195"/>
      <c r="H62" s="195">
        <f t="shared" si="2"/>
        <v>400</v>
      </c>
      <c r="I62" s="262"/>
      <c r="J62" s="223">
        <f t="shared" si="3"/>
        <v>0</v>
      </c>
    </row>
    <row r="63" spans="1:10" s="54" customFormat="1" ht="12.75">
      <c r="A63" s="158"/>
      <c r="B63" s="161"/>
      <c r="C63" s="150" t="s">
        <v>163</v>
      </c>
      <c r="D63" s="162" t="str">
        <f>IF(A63&gt;0,(LOOKUP(A63,'[1]Dz.'!A:A,'[1]Dz.'!B:B)),(IF(B63&gt;0,(LOOKUP(B63,'[1]Roz.'!A:A,'[1]Roz.'!B:B)),(IF(C63&gt;0,(LOOKUP(C63,'[1]par.'!A:A,'[1]par.'!B:B)),0)))))</f>
        <v>Wynagrodzenia osobowe pracowników</v>
      </c>
      <c r="E63" s="194">
        <v>48470</v>
      </c>
      <c r="F63" s="206"/>
      <c r="G63" s="206"/>
      <c r="H63" s="206">
        <f t="shared" si="2"/>
        <v>48470</v>
      </c>
      <c r="I63" s="269">
        <v>24234.6</v>
      </c>
      <c r="J63" s="230">
        <f t="shared" si="3"/>
        <v>0.49999174747266345</v>
      </c>
    </row>
    <row r="64" spans="1:10" s="54" customFormat="1" ht="25.5">
      <c r="A64" s="158"/>
      <c r="B64" s="161"/>
      <c r="C64" s="150" t="s">
        <v>188</v>
      </c>
      <c r="D64" s="162" t="str">
        <f>IF(A64&gt;0,(LOOKUP(A64,'[1]Dz.'!A:A,'[1]Dz.'!B:B)),(IF(B64&gt;0,(LOOKUP(B64,'[1]Roz.'!A:A,'[1]Roz.'!B:B)),(IF(C64&gt;0,(LOOKUP(C64,'[1]par.'!A:A,'[1]par.'!B:B)),0)))))</f>
        <v>Wynagrodzenia osobowe członków korpusu służby cywilnej</v>
      </c>
      <c r="E64" s="194">
        <v>82701</v>
      </c>
      <c r="F64" s="206"/>
      <c r="G64" s="206"/>
      <c r="H64" s="206">
        <f aca="true" t="shared" si="5" ref="H64:H78">E64+F64-G64</f>
        <v>82701</v>
      </c>
      <c r="I64" s="269">
        <v>40053.07</v>
      </c>
      <c r="J64" s="230">
        <f t="shared" si="3"/>
        <v>0.48431179792263696</v>
      </c>
    </row>
    <row r="65" spans="1:10" s="54" customFormat="1" ht="12.75">
      <c r="A65" s="158"/>
      <c r="B65" s="163"/>
      <c r="C65" s="150" t="s">
        <v>164</v>
      </c>
      <c r="D65" s="162" t="str">
        <f>IF(A65&gt;0,(LOOKUP(A65,'[1]Dz.'!A:A,'[1]Dz.'!B:B)),(IF(B65&gt;0,(LOOKUP(B65,'[1]Roz.'!A:A,'[1]Roz.'!B:B)),(IF(C65&gt;0,(LOOKUP(C65,'[1]par.'!A:A,'[1]par.'!B:B)),0)))))</f>
        <v>Dodatkowe wynagrodzenie roczne</v>
      </c>
      <c r="E65" s="194">
        <v>11584</v>
      </c>
      <c r="F65" s="206"/>
      <c r="G65" s="206"/>
      <c r="H65" s="206">
        <f t="shared" si="5"/>
        <v>11584</v>
      </c>
      <c r="I65" s="269">
        <v>9535.38</v>
      </c>
      <c r="J65" s="230">
        <f t="shared" si="3"/>
        <v>0.8231508977900551</v>
      </c>
    </row>
    <row r="66" spans="1:10" s="54" customFormat="1" ht="12.75">
      <c r="A66" s="158"/>
      <c r="B66" s="159"/>
      <c r="C66" s="150" t="s">
        <v>165</v>
      </c>
      <c r="D66" s="139" t="str">
        <f>IF(A66&gt;0,(LOOKUP(A66,'[1]Dz.'!A:A,'[1]Dz.'!B:B)),(IF(B66&gt;0,(LOOKUP(B66,'[1]Roz.'!A:A,'[1]Roz.'!B:B)),(IF(C66&gt;0,(LOOKUP(C66,'[1]par.'!A:A,'[1]par.'!B:B)),0)))))</f>
        <v>Składki na ubezpieczenia społeczne</v>
      </c>
      <c r="E66" s="194">
        <v>30021</v>
      </c>
      <c r="F66" s="195"/>
      <c r="G66" s="195"/>
      <c r="H66" s="195">
        <f t="shared" si="5"/>
        <v>30021</v>
      </c>
      <c r="I66" s="262">
        <v>13332.54</v>
      </c>
      <c r="J66" s="223">
        <f t="shared" si="3"/>
        <v>0.4441071250124913</v>
      </c>
    </row>
    <row r="67" spans="1:10" s="54" customFormat="1" ht="12.75">
      <c r="A67" s="158"/>
      <c r="B67" s="159"/>
      <c r="C67" s="150" t="s">
        <v>166</v>
      </c>
      <c r="D67" s="139" t="str">
        <f>IF(A67&gt;0,(LOOKUP(A67,'[1]Dz.'!A:A,'[1]Dz.'!B:B)),(IF(B67&gt;0,(LOOKUP(B67,'[1]Roz.'!A:A,'[1]Roz.'!B:B)),(IF(C67&gt;0,(LOOKUP(C67,'[1]par.'!A:A,'[1]par.'!B:B)),0)))))</f>
        <v>Składki na Fundusz Pracy</v>
      </c>
      <c r="E67" s="194">
        <v>4043</v>
      </c>
      <c r="F67" s="195"/>
      <c r="G67" s="195"/>
      <c r="H67" s="195">
        <f t="shared" si="5"/>
        <v>4043</v>
      </c>
      <c r="I67" s="262">
        <v>1808.69</v>
      </c>
      <c r="J67" s="223">
        <f t="shared" si="3"/>
        <v>0.44736334405144695</v>
      </c>
    </row>
    <row r="68" spans="1:10" s="54" customFormat="1" ht="12.75">
      <c r="A68" s="158"/>
      <c r="B68" s="159"/>
      <c r="C68" s="150" t="s">
        <v>156</v>
      </c>
      <c r="D68" s="139" t="str">
        <f>IF(A68&gt;0,(LOOKUP(A68,'[1]Dz.'!A:A,'[1]Dz.'!B:B)),(IF(B68&gt;0,(LOOKUP(B68,'[1]Roz.'!A:A,'[1]Roz.'!B:B)),(IF(C68&gt;0,(LOOKUP(C68,'[1]par.'!A:A,'[1]par.'!B:B)),0)))))</f>
        <v>Zakup materiałów i wyposażenia</v>
      </c>
      <c r="E68" s="194">
        <v>6331</v>
      </c>
      <c r="F68" s="195"/>
      <c r="G68" s="195"/>
      <c r="H68" s="195">
        <f t="shared" si="5"/>
        <v>6331</v>
      </c>
      <c r="I68" s="262">
        <v>3724.67</v>
      </c>
      <c r="J68" s="223">
        <f t="shared" si="3"/>
        <v>0.5883225398831149</v>
      </c>
    </row>
    <row r="69" spans="1:10" s="54" customFormat="1" ht="12.75">
      <c r="A69" s="158"/>
      <c r="B69" s="159"/>
      <c r="C69" s="150" t="s">
        <v>157</v>
      </c>
      <c r="D69" s="139" t="str">
        <f>IF(A69&gt;0,(LOOKUP(A69,'[1]Dz.'!A:A,'[1]Dz.'!B:B)),(IF(B69&gt;0,(LOOKUP(B69,'[1]Roz.'!A:A,'[1]Roz.'!B:B)),(IF(C69&gt;0,(LOOKUP(C69,'[1]par.'!A:A,'[1]par.'!B:B)),0)))))</f>
        <v>Zakup usług pozostałych</v>
      </c>
      <c r="E69" s="194">
        <v>7500</v>
      </c>
      <c r="F69" s="195">
        <v>3000</v>
      </c>
      <c r="G69" s="195"/>
      <c r="H69" s="195">
        <f t="shared" si="5"/>
        <v>10500</v>
      </c>
      <c r="I69" s="262">
        <v>1615.68</v>
      </c>
      <c r="J69" s="223">
        <f t="shared" si="3"/>
        <v>0.1538742857142857</v>
      </c>
    </row>
    <row r="70" spans="1:10" s="54" customFormat="1" ht="38.25">
      <c r="A70" s="158"/>
      <c r="B70" s="159"/>
      <c r="C70" s="150" t="s">
        <v>172</v>
      </c>
      <c r="D70" s="139" t="str">
        <f>IF(A70&gt;0,(LOOKUP(A70,'[1]Dz.'!A:A,'[1]Dz.'!B:B)),(IF(B70&gt;0,(LOOKUP(B70,'[1]Roz.'!A:A,'[1]Roz.'!B:B)),(IF(C70&gt;0,(LOOKUP(C70,'[1]par.'!A:A,'[1]par.'!B:B)),0)))))</f>
        <v>Opłaty z tytułu zakupu usług telekomunikacyjnych telefonii komórkowej</v>
      </c>
      <c r="E70" s="194">
        <v>600</v>
      </c>
      <c r="F70" s="195"/>
      <c r="G70" s="195"/>
      <c r="H70" s="195">
        <f t="shared" si="5"/>
        <v>600</v>
      </c>
      <c r="I70" s="262">
        <v>250</v>
      </c>
      <c r="J70" s="223">
        <f t="shared" si="3"/>
        <v>0.4166666666666667</v>
      </c>
    </row>
    <row r="71" spans="1:10" s="54" customFormat="1" ht="25.5">
      <c r="A71" s="158"/>
      <c r="B71" s="159"/>
      <c r="C71" s="150" t="s">
        <v>189</v>
      </c>
      <c r="D71" s="139" t="str">
        <f>IF(A71&gt;0,(LOOKUP(A71,'[1]Dz.'!A:A,'[1]Dz.'!B:B)),(IF(B71&gt;0,(LOOKUP(B71,'[1]Roz.'!A:A,'[1]Roz.'!B:B)),(IF(C71&gt;0,(LOOKUP(C71,'[1]par.'!A:A,'[1]par.'!B:B)),0)))))</f>
        <v>Opłaty czynszowe za pomieszczenia biurowe</v>
      </c>
      <c r="E71" s="194">
        <v>5000</v>
      </c>
      <c r="F71" s="195"/>
      <c r="G71" s="195"/>
      <c r="H71" s="195">
        <f t="shared" si="5"/>
        <v>5000</v>
      </c>
      <c r="I71" s="262">
        <v>2196</v>
      </c>
      <c r="J71" s="223">
        <f t="shared" si="3"/>
        <v>0.4392</v>
      </c>
    </row>
    <row r="72" spans="1:10" s="54" customFormat="1" ht="12.75">
      <c r="A72" s="158"/>
      <c r="B72" s="159"/>
      <c r="C72" s="150" t="s">
        <v>174</v>
      </c>
      <c r="D72" s="139" t="str">
        <f>IF(A72&gt;0,(LOOKUP(A72,'[1]Dz.'!A:A,'[1]Dz.'!B:B)),(IF(B72&gt;0,(LOOKUP(B72,'[1]Roz.'!A:A,'[1]Roz.'!B:B)),(IF(C72&gt;0,(LOOKUP(C72,'[1]par.'!A:A,'[1]par.'!B:B)),0)))))</f>
        <v>Podróże służbowe krajowe</v>
      </c>
      <c r="E72" s="194">
        <v>7500</v>
      </c>
      <c r="F72" s="195"/>
      <c r="G72" s="195"/>
      <c r="H72" s="195">
        <f t="shared" si="5"/>
        <v>7500</v>
      </c>
      <c r="I72" s="262">
        <v>5497.66</v>
      </c>
      <c r="J72" s="223">
        <f t="shared" si="3"/>
        <v>0.7330213333333333</v>
      </c>
    </row>
    <row r="73" spans="1:10" s="54" customFormat="1" ht="25.5">
      <c r="A73" s="158"/>
      <c r="B73" s="159"/>
      <c r="C73" s="150" t="s">
        <v>176</v>
      </c>
      <c r="D73" s="139" t="str">
        <f>IF(A73&gt;0,(LOOKUP(A73,'[1]Dz.'!A:A,'[1]Dz.'!B:B)),(IF(B73&gt;0,(LOOKUP(B73,'[1]Roz.'!A:A,'[1]Roz.'!B:B)),(IF(C73&gt;0,(LOOKUP(C73,'[1]par.'!A:A,'[1]par.'!B:B)),0)))))</f>
        <v>Odpisy na zakladowy fundusz świadczeń socjalnych</v>
      </c>
      <c r="E73" s="194">
        <v>3658</v>
      </c>
      <c r="F73" s="195"/>
      <c r="G73" s="195"/>
      <c r="H73" s="195">
        <f t="shared" si="5"/>
        <v>3658</v>
      </c>
      <c r="I73" s="262">
        <v>3200</v>
      </c>
      <c r="J73" s="223">
        <f t="shared" si="3"/>
        <v>0.8747949699289229</v>
      </c>
    </row>
    <row r="74" spans="1:10" s="54" customFormat="1" ht="38.25">
      <c r="A74" s="158"/>
      <c r="B74" s="159"/>
      <c r="C74" s="150" t="s">
        <v>181</v>
      </c>
      <c r="D74" s="139" t="str">
        <f>IF(A74&gt;0,(LOOKUP(A74,'[1]Dz.'!A:A,'[1]Dz.'!B:B)),(IF(B74&gt;0,(LOOKUP(B74,'[1]Roz.'!A:A,'[1]Roz.'!B:B)),(IF(C74&gt;0,(LOOKUP(C74,'[1]par.'!A:A,'[1]par.'!B:B)),0)))))</f>
        <v>Zakup materiałów papierniczych do sprzętu drukarskego i urządzeń kserograficznych</v>
      </c>
      <c r="E74" s="194">
        <v>1192</v>
      </c>
      <c r="F74" s="195"/>
      <c r="G74" s="195"/>
      <c r="H74" s="195">
        <f t="shared" si="5"/>
        <v>1192</v>
      </c>
      <c r="I74" s="262"/>
      <c r="J74" s="223">
        <f t="shared" si="3"/>
        <v>0</v>
      </c>
    </row>
    <row r="75" spans="1:10" s="54" customFormat="1" ht="25.5">
      <c r="A75" s="158"/>
      <c r="B75" s="159"/>
      <c r="C75" s="150" t="s">
        <v>182</v>
      </c>
      <c r="D75" s="139" t="str">
        <f>IF(A75&gt;0,(LOOKUP(A75,'[1]Dz.'!A:A,'[1]Dz.'!B:B)),(IF(B75&gt;0,(LOOKUP(B75,'[1]Roz.'!A:A,'[1]Roz.'!B:B)),(IF(C75&gt;0,(LOOKUP(C75,'[1]par.'!A:A,'[1]par.'!B:B)),0)))))</f>
        <v>Zakup akcesoriów komputerowych, w tym programów i licencji</v>
      </c>
      <c r="E75" s="194">
        <v>2000</v>
      </c>
      <c r="F75" s="195"/>
      <c r="G75" s="195"/>
      <c r="H75" s="195">
        <f t="shared" si="5"/>
        <v>2000</v>
      </c>
      <c r="I75" s="262"/>
      <c r="J75" s="223">
        <f t="shared" si="3"/>
        <v>0</v>
      </c>
    </row>
    <row r="76" spans="1:10" s="54" customFormat="1" ht="25.5">
      <c r="A76" s="164"/>
      <c r="B76" s="165"/>
      <c r="C76" s="166" t="s">
        <v>185</v>
      </c>
      <c r="D76" s="148" t="str">
        <f>IF(A76&gt;0,(LOOKUP(A76,'[1]Dz.'!A:A,'[1]Dz.'!B:B)),(IF(B76&gt;0,(LOOKUP(B76,'[1]Roz.'!A:A,'[1]Roz.'!B:B)),(IF(C76&gt;0,(LOOKUP(C76,'[1]par.'!A:A,'[1]par.'!B:B)),0)))))</f>
        <v>Wydatki na zakupy inwestycyjne jednostek budżetowych</v>
      </c>
      <c r="E76" s="200"/>
      <c r="F76" s="201">
        <v>42000</v>
      </c>
      <c r="G76" s="201"/>
      <c r="H76" s="201">
        <f t="shared" si="5"/>
        <v>42000</v>
      </c>
      <c r="I76" s="266">
        <v>40216</v>
      </c>
      <c r="J76" s="227">
        <f t="shared" si="3"/>
        <v>0.9575238095238096</v>
      </c>
    </row>
    <row r="77" spans="1:10" s="43" customFormat="1" ht="12.75">
      <c r="A77" s="41">
        <v>750</v>
      </c>
      <c r="B77" s="41"/>
      <c r="C77" s="41"/>
      <c r="D77" s="42" t="str">
        <f>IF(A77&gt;0,(LOOKUP(A77,'[1]Dz.'!A:A,'[1]Dz.'!B:B)),(IF(B77&gt;0,(LOOKUP(B77,'[1]Roz.'!A:A,'[1]Roz.'!B:B)),(IF(C77&gt;0,(LOOKUP(C77,'[1]par.'!A:A,'[1]par.'!B:B)),0)))))</f>
        <v>Administracja publiczna</v>
      </c>
      <c r="E77" s="189">
        <f>E78+E82+E90+E118</f>
        <v>3967039</v>
      </c>
      <c r="F77" s="189">
        <f>F78+F82+F90+F118</f>
        <v>774621</v>
      </c>
      <c r="G77" s="189">
        <f>G78+G82+G90+G118</f>
        <v>141449</v>
      </c>
      <c r="H77" s="190">
        <f t="shared" si="5"/>
        <v>4600211</v>
      </c>
      <c r="I77" s="260">
        <f>I78+I82+I90+I118</f>
        <v>2960606.1</v>
      </c>
      <c r="J77" s="221">
        <f t="shared" si="3"/>
        <v>0.6435805009813681</v>
      </c>
    </row>
    <row r="78" spans="1:10" s="137" customFormat="1" ht="12.75">
      <c r="A78" s="134"/>
      <c r="B78" s="135">
        <v>75011</v>
      </c>
      <c r="C78" s="135"/>
      <c r="D78" s="136" t="str">
        <f>IF(A78&gt;0,(LOOKUP(A78,'[1]Dz.'!A:A,'[1]Dz.'!B:B)),(IF(B78&gt;0,(LOOKUP(B78,'[1]Roz.'!A:A,'[1]Roz.'!B:B)),(IF(C78&gt;0,(LOOKUP(C78,'[1]par.'!A:A,'[1]par.'!B:B)),0)))))</f>
        <v>Urzędy wojewódzkie</v>
      </c>
      <c r="E78" s="191">
        <f>SUM(E79:E81)</f>
        <v>148800</v>
      </c>
      <c r="F78" s="191">
        <f>SUM(F79:F81)</f>
        <v>0</v>
      </c>
      <c r="G78" s="191">
        <f>SUM(G79:G81)</f>
        <v>0</v>
      </c>
      <c r="H78" s="192">
        <f t="shared" si="5"/>
        <v>148800</v>
      </c>
      <c r="I78" s="261">
        <f>SUM(I79:I81)</f>
        <v>80794</v>
      </c>
      <c r="J78" s="222">
        <f t="shared" si="3"/>
        <v>0.5429704301075269</v>
      </c>
    </row>
    <row r="79" spans="1:10" s="54" customFormat="1" ht="12.75">
      <c r="A79" s="138"/>
      <c r="B79" s="138"/>
      <c r="C79" s="138" t="s">
        <v>163</v>
      </c>
      <c r="D79" s="139" t="str">
        <f>IF(A79&gt;0,(LOOKUP(A79,'[1]Dz.'!A:A,'[1]Dz.'!B:B)),(IF(B79&gt;0,(LOOKUP(B79,'[1]Roz.'!A:A,'[1]Roz.'!B:B)),(IF(C79&gt;0,(LOOKUP(C79,'[1]par.'!A:A,'[1]par.'!B:B)),0)))))</f>
        <v>Wynagrodzenia osobowe pracowników</v>
      </c>
      <c r="E79" s="194">
        <v>123660</v>
      </c>
      <c r="F79" s="195"/>
      <c r="G79" s="195"/>
      <c r="H79" s="195">
        <f aca="true" t="shared" si="6" ref="H79:H146">E79+F79-G79</f>
        <v>123660</v>
      </c>
      <c r="I79" s="262">
        <v>67530.93</v>
      </c>
      <c r="J79" s="223">
        <f aca="true" t="shared" si="7" ref="J79:J110">I79/H79</f>
        <v>0.546101649684619</v>
      </c>
    </row>
    <row r="80" spans="1:10" s="54" customFormat="1" ht="12.75">
      <c r="A80" s="138"/>
      <c r="B80" s="138"/>
      <c r="C80" s="138" t="s">
        <v>165</v>
      </c>
      <c r="D80" s="139" t="str">
        <f>IF(A80&gt;0,(LOOKUP(A80,'[1]Dz.'!A:A,'[1]Dz.'!B:B)),(IF(B80&gt;0,(LOOKUP(B80,'[1]Roz.'!A:A,'[1]Roz.'!B:B)),(IF(C80&gt;0,(LOOKUP(C80,'[1]par.'!A:A,'[1]par.'!B:B)),0)))))</f>
        <v>Składki na ubezpieczenia społeczne</v>
      </c>
      <c r="E80" s="194">
        <v>22110</v>
      </c>
      <c r="F80" s="195"/>
      <c r="G80" s="195"/>
      <c r="H80" s="195">
        <f t="shared" si="6"/>
        <v>22110</v>
      </c>
      <c r="I80" s="262">
        <v>11608.57</v>
      </c>
      <c r="J80" s="223">
        <f t="shared" si="7"/>
        <v>0.5250370872908187</v>
      </c>
    </row>
    <row r="81" spans="1:10" s="54" customFormat="1" ht="12.75">
      <c r="A81" s="138"/>
      <c r="B81" s="138"/>
      <c r="C81" s="138" t="s">
        <v>166</v>
      </c>
      <c r="D81" s="139" t="str">
        <f>IF(A81&gt;0,(LOOKUP(A81,'[1]Dz.'!A:A,'[1]Dz.'!B:B)),(IF(B81&gt;0,(LOOKUP(B81,'[1]Roz.'!A:A,'[1]Roz.'!B:B)),(IF(C81&gt;0,(LOOKUP(C81,'[1]par.'!A:A,'[1]par.'!B:B)),0)))))</f>
        <v>Składki na Fundusz Pracy</v>
      </c>
      <c r="E81" s="194">
        <v>3030</v>
      </c>
      <c r="F81" s="195"/>
      <c r="G81" s="195"/>
      <c r="H81" s="195">
        <f t="shared" si="6"/>
        <v>3030</v>
      </c>
      <c r="I81" s="262">
        <v>1654.5</v>
      </c>
      <c r="J81" s="223">
        <f t="shared" si="7"/>
        <v>0.5460396039603961</v>
      </c>
    </row>
    <row r="82" spans="1:10" s="137" customFormat="1" ht="12.75">
      <c r="A82" s="134"/>
      <c r="B82" s="135" t="s">
        <v>104</v>
      </c>
      <c r="C82" s="135"/>
      <c r="D82" s="136" t="str">
        <f>IF(A82&gt;0,(LOOKUP(A82,'[1]Dz.'!A:A,'[1]Dz.'!B:B)),(IF(B82&gt;0,(LOOKUP(B82,'[1]Roz.'!A:A,'[1]Roz.'!B:B)),(IF(C82&gt;0,(LOOKUP(C82,'[1]par.'!A:A,'[1]par.'!B:B)),0)))))</f>
        <v>Rady powiatów</v>
      </c>
      <c r="E82" s="191">
        <f>SUM(E83:E89)</f>
        <v>263000</v>
      </c>
      <c r="F82" s="191">
        <f>SUM(F83:F89)</f>
        <v>3000</v>
      </c>
      <c r="G82" s="191">
        <f>SUM(G83:G89)</f>
        <v>3000</v>
      </c>
      <c r="H82" s="192">
        <f t="shared" si="6"/>
        <v>263000</v>
      </c>
      <c r="I82" s="261">
        <f>SUM(I83:I89)</f>
        <v>130537.51999999999</v>
      </c>
      <c r="J82" s="222">
        <f t="shared" si="7"/>
        <v>0.49634038022813687</v>
      </c>
    </row>
    <row r="83" spans="1:10" s="54" customFormat="1" ht="12.75">
      <c r="A83" s="138"/>
      <c r="B83" s="138"/>
      <c r="C83" s="138" t="s">
        <v>158</v>
      </c>
      <c r="D83" s="139" t="str">
        <f>IF(A83&gt;0,(LOOKUP(A83,'[1]Dz.'!A:A,'[1]Dz.'!B:B)),(IF(B83&gt;0,(LOOKUP(B83,'[1]Roz.'!A:A,'[1]Roz.'!B:B)),(IF(C83&gt;0,(LOOKUP(C83,'[1]par.'!A:A,'[1]par.'!B:B)),0)))))</f>
        <v>Różne wydatki na rzecz osób fizycznych</v>
      </c>
      <c r="E83" s="194">
        <v>251000</v>
      </c>
      <c r="F83" s="195"/>
      <c r="G83" s="195">
        <v>3000</v>
      </c>
      <c r="H83" s="195">
        <f t="shared" si="6"/>
        <v>248000</v>
      </c>
      <c r="I83" s="262">
        <v>118748.01</v>
      </c>
      <c r="J83" s="223">
        <f t="shared" si="7"/>
        <v>0.4788226209677419</v>
      </c>
    </row>
    <row r="84" spans="1:10" s="54" customFormat="1" ht="12.75">
      <c r="A84" s="138"/>
      <c r="B84" s="138"/>
      <c r="C84" s="138" t="s">
        <v>168</v>
      </c>
      <c r="D84" s="139" t="str">
        <f>IF(A84&gt;0,(LOOKUP(A84,'[1]Dz.'!A:A,'[1]Dz.'!B:B)),(IF(B84&gt;0,(LOOKUP(B84,'[1]Roz.'!A:A,'[1]Roz.'!B:B)),(IF(C84&gt;0,(LOOKUP(C84,'[1]par.'!A:A,'[1]par.'!B:B)),0)))))</f>
        <v>Wynagrodzenia bezosobowe</v>
      </c>
      <c r="E84" s="194"/>
      <c r="F84" s="195">
        <v>500</v>
      </c>
      <c r="G84" s="195"/>
      <c r="H84" s="195">
        <f>E84+F84-G84</f>
        <v>500</v>
      </c>
      <c r="I84" s="262">
        <v>500</v>
      </c>
      <c r="J84" s="223">
        <f t="shared" si="7"/>
        <v>1</v>
      </c>
    </row>
    <row r="85" spans="1:10" s="54" customFormat="1" ht="12.75">
      <c r="A85" s="138"/>
      <c r="B85" s="138"/>
      <c r="C85" s="138" t="s">
        <v>156</v>
      </c>
      <c r="D85" s="139" t="str">
        <f>IF(A85&gt;0,(LOOKUP(A85,'[1]Dz.'!A:A,'[1]Dz.'!B:B)),(IF(B85&gt;0,(LOOKUP(B85,'[1]Roz.'!A:A,'[1]Roz.'!B:B)),(IF(C85&gt;0,(LOOKUP(C85,'[1]par.'!A:A,'[1]par.'!B:B)),0)))))</f>
        <v>Zakup materiałów i wyposażenia</v>
      </c>
      <c r="E85" s="194">
        <v>4000</v>
      </c>
      <c r="F85" s="195">
        <v>1000</v>
      </c>
      <c r="G85" s="195"/>
      <c r="H85" s="195">
        <f t="shared" si="6"/>
        <v>5000</v>
      </c>
      <c r="I85" s="262">
        <v>4184.54</v>
      </c>
      <c r="J85" s="223">
        <f t="shared" si="7"/>
        <v>0.836908</v>
      </c>
    </row>
    <row r="86" spans="1:10" s="54" customFormat="1" ht="12.75">
      <c r="A86" s="138"/>
      <c r="B86" s="138"/>
      <c r="C86" s="138" t="s">
        <v>157</v>
      </c>
      <c r="D86" s="139" t="str">
        <f>IF(A86&gt;0,(LOOKUP(A86,'[1]Dz.'!A:A,'[1]Dz.'!B:B)),(IF(B86&gt;0,(LOOKUP(B86,'[1]Roz.'!A:A,'[1]Roz.'!B:B)),(IF(C86&gt;0,(LOOKUP(C86,'[1]par.'!A:A,'[1]par.'!B:B)),0)))))</f>
        <v>Zakup usług pozostałych</v>
      </c>
      <c r="E86" s="194">
        <v>5900</v>
      </c>
      <c r="F86" s="195">
        <v>1000</v>
      </c>
      <c r="G86" s="195"/>
      <c r="H86" s="195">
        <f t="shared" si="6"/>
        <v>6900</v>
      </c>
      <c r="I86" s="262">
        <v>6805.75</v>
      </c>
      <c r="J86" s="223">
        <f t="shared" si="7"/>
        <v>0.9863405797101449</v>
      </c>
    </row>
    <row r="87" spans="1:10" s="54" customFormat="1" ht="38.25">
      <c r="A87" s="138"/>
      <c r="B87" s="138"/>
      <c r="C87" s="138" t="s">
        <v>172</v>
      </c>
      <c r="D87" s="139" t="str">
        <f>IF(A87&gt;0,(LOOKUP(A87,'[1]Dz.'!A:A,'[1]Dz.'!B:B)),(IF(B87&gt;0,(LOOKUP(B87,'[1]Roz.'!A:A,'[1]Roz.'!B:B)),(IF(C87&gt;0,(LOOKUP(C87,'[1]par.'!A:A,'[1]par.'!B:B)),0)))))</f>
        <v>Opłaty z tytułu zakupu usług telekomunikacyjnych telefonii komórkowej</v>
      </c>
      <c r="E87" s="194"/>
      <c r="F87" s="195">
        <v>500</v>
      </c>
      <c r="G87" s="195"/>
      <c r="H87" s="195">
        <f>E87+F87-G87</f>
        <v>500</v>
      </c>
      <c r="I87" s="262">
        <v>299.22</v>
      </c>
      <c r="J87" s="223">
        <f t="shared" si="7"/>
        <v>0.5984400000000001</v>
      </c>
    </row>
    <row r="88" spans="1:10" s="54" customFormat="1" ht="12.75">
      <c r="A88" s="138"/>
      <c r="B88" s="138"/>
      <c r="C88" s="138" t="s">
        <v>174</v>
      </c>
      <c r="D88" s="139" t="str">
        <f>IF(A88&gt;0,(LOOKUP(A88,'[1]Dz.'!A:A,'[1]Dz.'!B:B)),(IF(B88&gt;0,(LOOKUP(B88,'[1]Roz.'!A:A,'[1]Roz.'!B:B)),(IF(C88&gt;0,(LOOKUP(C88,'[1]par.'!A:A,'[1]par.'!B:B)),0)))))</f>
        <v>Podróże służbowe krajowe</v>
      </c>
      <c r="E88" s="194">
        <v>1050</v>
      </c>
      <c r="F88" s="195"/>
      <c r="G88" s="195"/>
      <c r="H88" s="195">
        <f t="shared" si="6"/>
        <v>1050</v>
      </c>
      <c r="I88" s="262"/>
      <c r="J88" s="223">
        <f t="shared" si="7"/>
        <v>0</v>
      </c>
    </row>
    <row r="89" spans="1:10" s="54" customFormat="1" ht="12.75">
      <c r="A89" s="138"/>
      <c r="B89" s="138"/>
      <c r="C89" s="138" t="s">
        <v>190</v>
      </c>
      <c r="D89" s="139" t="str">
        <f>IF(A89&gt;0,(LOOKUP(A89,'[1]Dz.'!A:A,'[1]Dz.'!B:B)),(IF(B89&gt;0,(LOOKUP(B89,'[1]Roz.'!A:A,'[1]Roz.'!B:B)),(IF(C89&gt;0,(LOOKUP(C89,'[1]par.'!A:A,'[1]par.'!B:B)),0)))))</f>
        <v>Podróże służbowe zagraniczne</v>
      </c>
      <c r="E89" s="194">
        <v>1050</v>
      </c>
      <c r="F89" s="195"/>
      <c r="G89" s="195"/>
      <c r="H89" s="195">
        <f t="shared" si="6"/>
        <v>1050</v>
      </c>
      <c r="I89" s="262"/>
      <c r="J89" s="223">
        <f t="shared" si="7"/>
        <v>0</v>
      </c>
    </row>
    <row r="90" spans="1:10" s="137" customFormat="1" ht="12.75">
      <c r="A90" s="134"/>
      <c r="B90" s="135" t="s">
        <v>105</v>
      </c>
      <c r="C90" s="135"/>
      <c r="D90" s="136" t="str">
        <f>IF(A90&gt;0,(LOOKUP(A90,'[1]Dz.'!A:A,'[1]Dz.'!B:B)),(IF(B90&gt;0,(LOOKUP(B90,'[1]Roz.'!A:A,'[1]Roz.'!B:B)),(IF(C90&gt;0,(LOOKUP(C90,'[1]par.'!A:A,'[1]par.'!B:B)),0)))))</f>
        <v>Starostwa powiatowe</v>
      </c>
      <c r="E90" s="191">
        <f>SUM(E91:E117)</f>
        <v>3526239</v>
      </c>
      <c r="F90" s="191">
        <f>SUM(F91:F117)</f>
        <v>761575</v>
      </c>
      <c r="G90" s="191">
        <f>SUM(G91:G117)</f>
        <v>128403</v>
      </c>
      <c r="H90" s="192">
        <f t="shared" si="6"/>
        <v>4159411</v>
      </c>
      <c r="I90" s="261">
        <f>SUM(I91:I117)</f>
        <v>2723310.99</v>
      </c>
      <c r="J90" s="222">
        <f t="shared" si="7"/>
        <v>0.6547347665330501</v>
      </c>
    </row>
    <row r="91" spans="1:10" s="54" customFormat="1" ht="25.5">
      <c r="A91" s="138"/>
      <c r="B91" s="138"/>
      <c r="C91" s="138" t="s">
        <v>161</v>
      </c>
      <c r="D91" s="139" t="str">
        <f>IF(A91&gt;0,(LOOKUP(A91,'[1]Dz.'!A:A,'[1]Dz.'!B:B)),(IF(B91&gt;0,(LOOKUP(B91,'[1]Roz.'!A:A,'[1]Roz.'!B:B)),(IF(C91&gt;0,(LOOKUP(C91,'[1]par.'!A:A,'[1]par.'!B:B)),0)))))</f>
        <v>Nagrody i wydatki osobowe nie zaliczone do wynagrodzeń</v>
      </c>
      <c r="E91" s="194">
        <v>19055</v>
      </c>
      <c r="F91" s="195"/>
      <c r="G91" s="195"/>
      <c r="H91" s="195">
        <f t="shared" si="6"/>
        <v>19055</v>
      </c>
      <c r="I91" s="262">
        <v>9588.39</v>
      </c>
      <c r="J91" s="223">
        <f t="shared" si="7"/>
        <v>0.5031954867488848</v>
      </c>
    </row>
    <row r="92" spans="1:10" s="54" customFormat="1" ht="12.75">
      <c r="A92" s="138"/>
      <c r="B92" s="138"/>
      <c r="C92" s="138" t="s">
        <v>163</v>
      </c>
      <c r="D92" s="139" t="str">
        <f>IF(A92&gt;0,(LOOKUP(A92,'[1]Dz.'!A:A,'[1]Dz.'!B:B)),(IF(B92&gt;0,(LOOKUP(B92,'[1]Roz.'!A:A,'[1]Roz.'!B:B)),(IF(C92&gt;0,(LOOKUP(C92,'[1]par.'!A:A,'[1]par.'!B:B)),0)))))</f>
        <v>Wynagrodzenia osobowe pracowników</v>
      </c>
      <c r="E92" s="194">
        <v>1751840</v>
      </c>
      <c r="F92" s="195">
        <v>268515</v>
      </c>
      <c r="G92" s="195"/>
      <c r="H92" s="195">
        <f t="shared" si="6"/>
        <v>2020355</v>
      </c>
      <c r="I92" s="262">
        <v>1015692.3</v>
      </c>
      <c r="J92" s="223">
        <f t="shared" si="7"/>
        <v>0.5027296192995786</v>
      </c>
    </row>
    <row r="93" spans="1:10" s="54" customFormat="1" ht="12.75">
      <c r="A93" s="138"/>
      <c r="B93" s="138"/>
      <c r="C93" s="138" t="s">
        <v>164</v>
      </c>
      <c r="D93" s="139" t="str">
        <f>IF(A93&gt;0,(LOOKUP(A93,'[1]Dz.'!A:A,'[1]Dz.'!B:B)),(IF(B93&gt;0,(LOOKUP(B93,'[1]Roz.'!A:A,'[1]Roz.'!B:B)),(IF(C93&gt;0,(LOOKUP(C93,'[1]par.'!A:A,'[1]par.'!B:B)),0)))))</f>
        <v>Dodatkowe wynagrodzenie roczne</v>
      </c>
      <c r="E93" s="194">
        <v>179500</v>
      </c>
      <c r="F93" s="195">
        <v>40487</v>
      </c>
      <c r="G93" s="195"/>
      <c r="H93" s="195">
        <f t="shared" si="6"/>
        <v>219987</v>
      </c>
      <c r="I93" s="262">
        <v>219986.86</v>
      </c>
      <c r="J93" s="223">
        <f t="shared" si="7"/>
        <v>0.9999993635987581</v>
      </c>
    </row>
    <row r="94" spans="1:10" s="54" customFormat="1" ht="12.75">
      <c r="A94" s="138"/>
      <c r="B94" s="138"/>
      <c r="C94" s="138" t="s">
        <v>165</v>
      </c>
      <c r="D94" s="139" t="str">
        <f>IF(A94&gt;0,(LOOKUP(A94,'[1]Dz.'!A:A,'[1]Dz.'!B:B)),(IF(B94&gt;0,(LOOKUP(B94,'[1]Roz.'!A:A,'[1]Roz.'!B:B)),(IF(C94&gt;0,(LOOKUP(C94,'[1]par.'!A:A,'[1]par.'!B:B)),0)))))</f>
        <v>Składki na ubezpieczenia społeczne</v>
      </c>
      <c r="E94" s="194">
        <v>315890</v>
      </c>
      <c r="F94" s="195">
        <v>46131</v>
      </c>
      <c r="G94" s="195"/>
      <c r="H94" s="195">
        <f t="shared" si="6"/>
        <v>362021</v>
      </c>
      <c r="I94" s="262">
        <v>201185</v>
      </c>
      <c r="J94" s="223">
        <f t="shared" si="7"/>
        <v>0.5557274301767025</v>
      </c>
    </row>
    <row r="95" spans="1:10" s="54" customFormat="1" ht="12.75">
      <c r="A95" s="138"/>
      <c r="B95" s="138"/>
      <c r="C95" s="138" t="s">
        <v>166</v>
      </c>
      <c r="D95" s="139" t="str">
        <f>IF(A95&gt;0,(LOOKUP(A95,'[1]Dz.'!A:A,'[1]Dz.'!B:B)),(IF(B95&gt;0,(LOOKUP(B95,'[1]Roz.'!A:A,'[1]Roz.'!B:B)),(IF(C95&gt;0,(LOOKUP(C95,'[1]par.'!A:A,'[1]par.'!B:B)),0)))))</f>
        <v>Składki na Fundusz Pracy</v>
      </c>
      <c r="E95" s="194">
        <v>44970</v>
      </c>
      <c r="F95" s="195">
        <v>22354</v>
      </c>
      <c r="G95" s="195"/>
      <c r="H95" s="195">
        <f t="shared" si="6"/>
        <v>67324</v>
      </c>
      <c r="I95" s="262">
        <v>46070.05</v>
      </c>
      <c r="J95" s="223">
        <f t="shared" si="7"/>
        <v>0.6843035173192324</v>
      </c>
    </row>
    <row r="96" spans="1:10" s="54" customFormat="1" ht="12.75">
      <c r="A96" s="138"/>
      <c r="B96" s="138"/>
      <c r="C96" s="138" t="s">
        <v>168</v>
      </c>
      <c r="D96" s="139" t="str">
        <f>IF(A96&gt;0,(LOOKUP(A96,'[1]Dz.'!A:A,'[1]Dz.'!B:B)),(IF(B96&gt;0,(LOOKUP(B96,'[1]Roz.'!A:A,'[1]Roz.'!B:B)),(IF(C96&gt;0,(LOOKUP(C96,'[1]par.'!A:A,'[1]par.'!B:B)),0)))))</f>
        <v>Wynagrodzenia bezosobowe</v>
      </c>
      <c r="E96" s="194">
        <v>8000</v>
      </c>
      <c r="F96" s="195">
        <v>200</v>
      </c>
      <c r="G96" s="195"/>
      <c r="H96" s="195">
        <f t="shared" si="6"/>
        <v>8200</v>
      </c>
      <c r="I96" s="262">
        <v>6851.75</v>
      </c>
      <c r="J96" s="223">
        <f t="shared" si="7"/>
        <v>0.8355792682926829</v>
      </c>
    </row>
    <row r="97" spans="1:10" s="54" customFormat="1" ht="12.75">
      <c r="A97" s="138"/>
      <c r="B97" s="138"/>
      <c r="C97" s="138" t="s">
        <v>156</v>
      </c>
      <c r="D97" s="139" t="str">
        <f>IF(A97&gt;0,(LOOKUP(A97,'[1]Dz.'!A:A,'[1]Dz.'!B:B)),(IF(B97&gt;0,(LOOKUP(B97,'[1]Roz.'!A:A,'[1]Roz.'!B:B)),(IF(C97&gt;0,(LOOKUP(C97,'[1]par.'!A:A,'[1]par.'!B:B)),0)))))</f>
        <v>Zakup materiałów i wyposażenia</v>
      </c>
      <c r="E97" s="194">
        <v>398397</v>
      </c>
      <c r="F97" s="195">
        <f>35000+84000</f>
        <v>119000</v>
      </c>
      <c r="G97" s="195">
        <f>23000</f>
        <v>23000</v>
      </c>
      <c r="H97" s="195">
        <f t="shared" si="6"/>
        <v>494397</v>
      </c>
      <c r="I97" s="262">
        <v>470626.45</v>
      </c>
      <c r="J97" s="223">
        <f t="shared" si="7"/>
        <v>0.9519201168291879</v>
      </c>
    </row>
    <row r="98" spans="1:10" s="54" customFormat="1" ht="12.75">
      <c r="A98" s="138"/>
      <c r="B98" s="138"/>
      <c r="C98" s="138" t="s">
        <v>169</v>
      </c>
      <c r="D98" s="139" t="str">
        <f>IF(A98&gt;0,(LOOKUP(A98,'[1]Dz.'!A:A,'[1]Dz.'!B:B)),(IF(B98&gt;0,(LOOKUP(B98,'[1]Roz.'!A:A,'[1]Roz.'!B:B)),(IF(C98&gt;0,(LOOKUP(C98,'[1]par.'!A:A,'[1]par.'!B:B)),0)))))</f>
        <v>Zakup energii</v>
      </c>
      <c r="E98" s="194">
        <v>127264</v>
      </c>
      <c r="F98" s="195"/>
      <c r="G98" s="195"/>
      <c r="H98" s="195">
        <f t="shared" si="6"/>
        <v>127264</v>
      </c>
      <c r="I98" s="262">
        <v>96579.86</v>
      </c>
      <c r="J98" s="223">
        <f t="shared" si="7"/>
        <v>0.7588937955745537</v>
      </c>
    </row>
    <row r="99" spans="1:10" s="54" customFormat="1" ht="12.75">
      <c r="A99" s="138"/>
      <c r="B99" s="138"/>
      <c r="C99" s="138" t="s">
        <v>170</v>
      </c>
      <c r="D99" s="139" t="str">
        <f>IF(A99&gt;0,(LOOKUP(A99,'[1]Dz.'!A:A,'[1]Dz.'!B:B)),(IF(B99&gt;0,(LOOKUP(B99,'[1]Roz.'!A:A,'[1]Roz.'!B:B)),(IF(C99&gt;0,(LOOKUP(C99,'[1]par.'!A:A,'[1]par.'!B:B)),0)))))</f>
        <v>Zakup usług remontowych</v>
      </c>
      <c r="E99" s="194">
        <v>40201</v>
      </c>
      <c r="F99" s="195">
        <f>10000+10000+72000</f>
        <v>92000</v>
      </c>
      <c r="G99" s="195"/>
      <c r="H99" s="195">
        <f t="shared" si="6"/>
        <v>132201</v>
      </c>
      <c r="I99" s="262">
        <v>110704.96</v>
      </c>
      <c r="J99" s="223">
        <f t="shared" si="7"/>
        <v>0.8373988093887339</v>
      </c>
    </row>
    <row r="100" spans="1:10" s="54" customFormat="1" ht="12.75">
      <c r="A100" s="138"/>
      <c r="B100" s="138"/>
      <c r="C100" s="149">
        <v>4280</v>
      </c>
      <c r="D100" s="139" t="s">
        <v>217</v>
      </c>
      <c r="E100" s="194"/>
      <c r="F100" s="195">
        <v>3400</v>
      </c>
      <c r="G100" s="195"/>
      <c r="H100" s="195">
        <f t="shared" si="6"/>
        <v>3400</v>
      </c>
      <c r="I100" s="262">
        <v>1195</v>
      </c>
      <c r="J100" s="223">
        <f t="shared" si="7"/>
        <v>0.3514705882352941</v>
      </c>
    </row>
    <row r="101" spans="1:10" s="54" customFormat="1" ht="12.75">
      <c r="A101" s="138"/>
      <c r="B101" s="138"/>
      <c r="C101" s="138" t="s">
        <v>157</v>
      </c>
      <c r="D101" s="139" t="str">
        <f>IF(A101&gt;0,(LOOKUP(A101,'[1]Dz.'!A:A,'[1]Dz.'!B:B)),(IF(B101&gt;0,(LOOKUP(B101,'[1]Roz.'!A:A,'[1]Roz.'!B:B)),(IF(C101&gt;0,(LOOKUP(C101,'[1]par.'!A:A,'[1]par.'!B:B)),0)))))</f>
        <v>Zakup usług pozostałych</v>
      </c>
      <c r="E101" s="194">
        <v>317429</v>
      </c>
      <c r="F101" s="195">
        <f>31447+40000</f>
        <v>71447</v>
      </c>
      <c r="G101" s="195">
        <f>3400+10500+26000+535</f>
        <v>40435</v>
      </c>
      <c r="H101" s="195">
        <f t="shared" si="6"/>
        <v>348441</v>
      </c>
      <c r="I101" s="262">
        <v>299176.41</v>
      </c>
      <c r="J101" s="223">
        <f t="shared" si="7"/>
        <v>0.8586142560720466</v>
      </c>
    </row>
    <row r="102" spans="1:10" s="54" customFormat="1" ht="12.75">
      <c r="A102" s="138"/>
      <c r="B102" s="138"/>
      <c r="C102" s="138" t="s">
        <v>171</v>
      </c>
      <c r="D102" s="139" t="str">
        <f>IF(A102&gt;0,(LOOKUP(A102,'[1]Dz.'!A:A,'[1]Dz.'!B:B)),(IF(B102&gt;0,(LOOKUP(B102,'[1]Roz.'!A:A,'[1]Roz.'!B:B)),(IF(C102&gt;0,(LOOKUP(C102,'[1]par.'!A:A,'[1]par.'!B:B)),0)))))</f>
        <v>Zakup dostępu do sieci internet</v>
      </c>
      <c r="E102" s="194">
        <v>5100</v>
      </c>
      <c r="F102" s="195"/>
      <c r="G102" s="195"/>
      <c r="H102" s="195">
        <f t="shared" si="6"/>
        <v>5100</v>
      </c>
      <c r="I102" s="262">
        <v>2559.2</v>
      </c>
      <c r="J102" s="223">
        <f t="shared" si="7"/>
        <v>0.5018039215686274</v>
      </c>
    </row>
    <row r="103" spans="1:10" s="54" customFormat="1" ht="38.25">
      <c r="A103" s="138"/>
      <c r="B103" s="138"/>
      <c r="C103" s="138" t="s">
        <v>172</v>
      </c>
      <c r="D103" s="139" t="str">
        <f>IF(A103&gt;0,(LOOKUP(A103,'[1]Dz.'!A:A,'[1]Dz.'!B:B)),(IF(B103&gt;0,(LOOKUP(B103,'[1]Roz.'!A:A,'[1]Roz.'!B:B)),(IF(C103&gt;0,(LOOKUP(C103,'[1]par.'!A:A,'[1]par.'!B:B)),0)))))</f>
        <v>Opłaty z tytułu zakupu usług telekomunikacyjnych telefonii komórkowej</v>
      </c>
      <c r="E103" s="194">
        <v>20000</v>
      </c>
      <c r="F103" s="195">
        <v>5000</v>
      </c>
      <c r="G103" s="195"/>
      <c r="H103" s="195">
        <f t="shared" si="6"/>
        <v>25000</v>
      </c>
      <c r="I103" s="262">
        <v>15416.85</v>
      </c>
      <c r="J103" s="223">
        <f t="shared" si="7"/>
        <v>0.616674</v>
      </c>
    </row>
    <row r="104" spans="1:10" s="54" customFormat="1" ht="38.25">
      <c r="A104" s="138"/>
      <c r="B104" s="138"/>
      <c r="C104" s="138" t="s">
        <v>173</v>
      </c>
      <c r="D104" s="139" t="str">
        <f>IF(A104&gt;0,(LOOKUP(A104,'[1]Dz.'!A:A,'[1]Dz.'!B:B)),(IF(B104&gt;0,(LOOKUP(B104,'[1]Roz.'!A:A,'[1]Roz.'!B:B)),(IF(C104&gt;0,(LOOKUP(C104,'[1]par.'!A:A,'[1]par.'!B:B)),0)))))</f>
        <v>Opłaty z tytułu zakupu usług telekomunikacyjnych telefonii stacjonarnej</v>
      </c>
      <c r="E104" s="194">
        <v>82000</v>
      </c>
      <c r="F104" s="195">
        <v>20500</v>
      </c>
      <c r="G104" s="195">
        <v>10968</v>
      </c>
      <c r="H104" s="195">
        <f t="shared" si="6"/>
        <v>91532</v>
      </c>
      <c r="I104" s="262">
        <v>58541.06</v>
      </c>
      <c r="J104" s="223">
        <f t="shared" si="7"/>
        <v>0.6395693309443692</v>
      </c>
    </row>
    <row r="105" spans="1:10" s="54" customFormat="1" ht="12.75">
      <c r="A105" s="138"/>
      <c r="B105" s="138"/>
      <c r="C105" s="149">
        <v>4380</v>
      </c>
      <c r="D105" s="139" t="s">
        <v>272</v>
      </c>
      <c r="E105" s="194"/>
      <c r="F105" s="195">
        <f>500+500</f>
        <v>1000</v>
      </c>
      <c r="G105" s="195"/>
      <c r="H105" s="195">
        <f>E105+F105-G105</f>
        <v>1000</v>
      </c>
      <c r="I105" s="262">
        <v>795.43</v>
      </c>
      <c r="J105" s="223">
        <f t="shared" si="7"/>
        <v>0.79543</v>
      </c>
    </row>
    <row r="106" spans="1:10" s="54" customFormat="1" ht="12.75">
      <c r="A106" s="138"/>
      <c r="B106" s="138"/>
      <c r="C106" s="138" t="s">
        <v>174</v>
      </c>
      <c r="D106" s="139" t="str">
        <f>IF(A106&gt;0,(LOOKUP(A106,'[1]Dz.'!A:A,'[1]Dz.'!B:B)),(IF(B106&gt;0,(LOOKUP(B106,'[1]Roz.'!A:A,'[1]Roz.'!B:B)),(IF(C106&gt;0,(LOOKUP(C106,'[1]par.'!A:A,'[1]par.'!B:B)),0)))))</f>
        <v>Podróże służbowe krajowe</v>
      </c>
      <c r="E106" s="194">
        <v>22826</v>
      </c>
      <c r="F106" s="195"/>
      <c r="G106" s="195">
        <v>7000</v>
      </c>
      <c r="H106" s="195">
        <f t="shared" si="6"/>
        <v>15826</v>
      </c>
      <c r="I106" s="262">
        <v>9178.27</v>
      </c>
      <c r="J106" s="223">
        <f t="shared" si="7"/>
        <v>0.5799488184001012</v>
      </c>
    </row>
    <row r="107" spans="1:10" s="54" customFormat="1" ht="12.75">
      <c r="A107" s="138"/>
      <c r="B107" s="138"/>
      <c r="C107" s="138" t="s">
        <v>190</v>
      </c>
      <c r="D107" s="139" t="str">
        <f>IF(A107&gt;0,(LOOKUP(A107,'[1]Dz.'!A:A,'[1]Dz.'!B:B)),(IF(B107&gt;0,(LOOKUP(B107,'[1]Roz.'!A:A,'[1]Roz.'!B:B)),(IF(C107&gt;0,(LOOKUP(C107,'[1]par.'!A:A,'[1]par.'!B:B)),0)))))</f>
        <v>Podróże służbowe zagraniczne</v>
      </c>
      <c r="E107" s="194">
        <v>6216</v>
      </c>
      <c r="F107" s="195"/>
      <c r="G107" s="195"/>
      <c r="H107" s="195">
        <f t="shared" si="6"/>
        <v>6216</v>
      </c>
      <c r="I107" s="262">
        <v>3283.3</v>
      </c>
      <c r="J107" s="223">
        <f t="shared" si="7"/>
        <v>0.5282014157014158</v>
      </c>
    </row>
    <row r="108" spans="1:10" s="54" customFormat="1" ht="12.75">
      <c r="A108" s="138"/>
      <c r="B108" s="138"/>
      <c r="C108" s="138" t="s">
        <v>175</v>
      </c>
      <c r="D108" s="139" t="str">
        <f>IF(A108&gt;0,(LOOKUP(A108,'[1]Dz.'!A:A,'[1]Dz.'!B:B)),(IF(B108&gt;0,(LOOKUP(B108,'[1]Roz.'!A:A,'[1]Roz.'!B:B)),(IF(C108&gt;0,(LOOKUP(C108,'[1]par.'!A:A,'[1]par.'!B:B)),0)))))</f>
        <v>Różne opłaty i składki</v>
      </c>
      <c r="E108" s="194">
        <v>29551</v>
      </c>
      <c r="F108" s="195"/>
      <c r="G108" s="195"/>
      <c r="H108" s="195">
        <f t="shared" si="6"/>
        <v>29551</v>
      </c>
      <c r="I108" s="262">
        <v>18644.5</v>
      </c>
      <c r="J108" s="223">
        <f t="shared" si="7"/>
        <v>0.6309261953910189</v>
      </c>
    </row>
    <row r="109" spans="1:10" s="54" customFormat="1" ht="25.5">
      <c r="A109" s="138"/>
      <c r="B109" s="138"/>
      <c r="C109" s="138" t="s">
        <v>176</v>
      </c>
      <c r="D109" s="139" t="str">
        <f>IF(A109&gt;0,(LOOKUP(A109,'[1]Dz.'!A:A,'[1]Dz.'!B:B)),(IF(B109&gt;0,(LOOKUP(B109,'[1]Roz.'!A:A,'[1]Roz.'!B:B)),(IF(C109&gt;0,(LOOKUP(C109,'[1]par.'!A:A,'[1]par.'!B:B)),0)))))</f>
        <v>Odpisy na zakladowy fundusz świadczeń socjalnych</v>
      </c>
      <c r="E109" s="194">
        <v>65000</v>
      </c>
      <c r="F109" s="195"/>
      <c r="G109" s="195"/>
      <c r="H109" s="195">
        <f t="shared" si="6"/>
        <v>65000</v>
      </c>
      <c r="I109" s="262">
        <v>48750</v>
      </c>
      <c r="J109" s="223">
        <f t="shared" si="7"/>
        <v>0.75</v>
      </c>
    </row>
    <row r="110" spans="1:10" s="54" customFormat="1" ht="12.75">
      <c r="A110" s="138"/>
      <c r="B110" s="138"/>
      <c r="C110" s="138" t="s">
        <v>191</v>
      </c>
      <c r="D110" s="139" t="str">
        <f>IF(A110&gt;0,(LOOKUP(A110,'[1]Dz.'!A:A,'[1]Dz.'!B:B)),(IF(B110&gt;0,(LOOKUP(B110,'[1]Roz.'!A:A,'[1]Roz.'!B:B)),(IF(C110&gt;0,(LOOKUP(C110,'[1]par.'!A:A,'[1]par.'!B:B)),0)))))</f>
        <v>Podatek od towarów i usług (VAT)</v>
      </c>
      <c r="E110" s="194">
        <v>8000</v>
      </c>
      <c r="F110" s="195">
        <f>15500+3000</f>
        <v>18500</v>
      </c>
      <c r="G110" s="195"/>
      <c r="H110" s="195">
        <f t="shared" si="6"/>
        <v>26500</v>
      </c>
      <c r="I110" s="262">
        <v>15719.36</v>
      </c>
      <c r="J110" s="223">
        <f t="shared" si="7"/>
        <v>0.5931833962264151</v>
      </c>
    </row>
    <row r="111" spans="1:10" s="54" customFormat="1" ht="12.75">
      <c r="A111" s="138"/>
      <c r="B111" s="138"/>
      <c r="C111" s="138" t="s">
        <v>192</v>
      </c>
      <c r="D111" s="139" t="str">
        <f>IF(A111&gt;0,(LOOKUP(A111,'[1]Dz.'!A:A,'[1]Dz.'!B:B)),(IF(B111&gt;0,(LOOKUP(B111,'[1]Roz.'!A:A,'[1]Roz.'!B:B)),(IF(C111&gt;0,(LOOKUP(C111,'[1]par.'!A:A,'[1]par.'!B:B)),0)))))</f>
        <v>Pozostałe odsetki</v>
      </c>
      <c r="E111" s="194"/>
      <c r="F111" s="195">
        <v>100</v>
      </c>
      <c r="G111" s="195"/>
      <c r="H111" s="195">
        <f t="shared" si="6"/>
        <v>100</v>
      </c>
      <c r="I111" s="262">
        <v>74.05</v>
      </c>
      <c r="J111" s="223">
        <f aca="true" t="shared" si="8" ref="J111:J118">I111/H111</f>
        <v>0.7404999999999999</v>
      </c>
    </row>
    <row r="112" spans="1:10" s="54" customFormat="1" ht="25.5">
      <c r="A112" s="138"/>
      <c r="B112" s="138"/>
      <c r="C112" s="138" t="s">
        <v>193</v>
      </c>
      <c r="D112" s="139" t="str">
        <f>IF(A112&gt;0,(LOOKUP(A112,'[1]Dz.'!A:A,'[1]Dz.'!B:B)),(IF(B112&gt;0,(LOOKUP(B112,'[1]Roz.'!A:A,'[1]Roz.'!B:B)),(IF(C112&gt;0,(LOOKUP(C112,'[1]par.'!A:A,'[1]par.'!B:B)),0)))))</f>
        <v>Koszty postępowania sądowego i prokuratorskiego</v>
      </c>
      <c r="E112" s="194">
        <v>1000</v>
      </c>
      <c r="F112" s="195"/>
      <c r="G112" s="195"/>
      <c r="H112" s="195">
        <f t="shared" si="6"/>
        <v>1000</v>
      </c>
      <c r="I112" s="262"/>
      <c r="J112" s="223">
        <f t="shared" si="8"/>
        <v>0</v>
      </c>
    </row>
    <row r="113" spans="1:10" s="54" customFormat="1" ht="25.5">
      <c r="A113" s="138"/>
      <c r="B113" s="138"/>
      <c r="C113" s="167">
        <v>4680</v>
      </c>
      <c r="D113" s="139" t="s">
        <v>280</v>
      </c>
      <c r="E113" s="194"/>
      <c r="F113" s="195">
        <v>441</v>
      </c>
      <c r="G113" s="195"/>
      <c r="H113" s="195">
        <f t="shared" si="6"/>
        <v>441</v>
      </c>
      <c r="I113" s="262">
        <v>440.9</v>
      </c>
      <c r="J113" s="223">
        <f t="shared" si="8"/>
        <v>0.9997732426303855</v>
      </c>
    </row>
    <row r="114" spans="1:10" s="54" customFormat="1" ht="25.5">
      <c r="A114" s="138"/>
      <c r="B114" s="138"/>
      <c r="C114" s="168">
        <v>4700</v>
      </c>
      <c r="D114" s="139" t="s">
        <v>283</v>
      </c>
      <c r="E114" s="194"/>
      <c r="F114" s="195">
        <v>7000</v>
      </c>
      <c r="G114" s="195"/>
      <c r="H114" s="195">
        <f t="shared" si="6"/>
        <v>7000</v>
      </c>
      <c r="I114" s="262">
        <v>4127.4</v>
      </c>
      <c r="J114" s="223">
        <f t="shared" si="8"/>
        <v>0.5896285714285714</v>
      </c>
    </row>
    <row r="115" spans="1:10" s="54" customFormat="1" ht="38.25">
      <c r="A115" s="138"/>
      <c r="B115" s="138"/>
      <c r="C115" s="150" t="s">
        <v>181</v>
      </c>
      <c r="D115" s="139" t="str">
        <f>IF(A115&gt;0,(LOOKUP(A115,'[1]Dz.'!A:A,'[1]Dz.'!B:B)),(IF(B115&gt;0,(LOOKUP(B115,'[1]Roz.'!A:A,'[1]Roz.'!B:B)),(IF(C115&gt;0,(LOOKUP(C115,'[1]par.'!A:A,'[1]par.'!B:B)),0)))))</f>
        <v>Zakup materiałów papierniczych do sprzętu drukarskego i urządzeń kserograficznych</v>
      </c>
      <c r="E115" s="194"/>
      <c r="F115" s="195">
        <f>20000+1500</f>
        <v>21500</v>
      </c>
      <c r="G115" s="195">
        <v>17000</v>
      </c>
      <c r="H115" s="195">
        <f t="shared" si="6"/>
        <v>4500</v>
      </c>
      <c r="I115" s="262">
        <v>2689.54</v>
      </c>
      <c r="J115" s="223">
        <f t="shared" si="8"/>
        <v>0.5976755555555555</v>
      </c>
    </row>
    <row r="116" spans="1:10" s="54" customFormat="1" ht="25.5">
      <c r="A116" s="138"/>
      <c r="B116" s="138"/>
      <c r="C116" s="150" t="s">
        <v>182</v>
      </c>
      <c r="D116" s="139" t="str">
        <f>IF(A116&gt;0,(LOOKUP(A116,'[1]Dz.'!A:A,'[1]Dz.'!B:B)),(IF(B116&gt;0,(LOOKUP(B116,'[1]Roz.'!A:A,'[1]Roz.'!B:B)),(IF(C116&gt;0,(LOOKUP(C116,'[1]par.'!A:A,'[1]par.'!B:B)),0)))))</f>
        <v>Zakup akcesoriów komputerowych, w tym programów i licencji</v>
      </c>
      <c r="E116" s="194"/>
      <c r="F116" s="195">
        <f>3000+17000+4000</f>
        <v>24000</v>
      </c>
      <c r="G116" s="195"/>
      <c r="H116" s="195">
        <f t="shared" si="6"/>
        <v>24000</v>
      </c>
      <c r="I116" s="262">
        <v>18064.1</v>
      </c>
      <c r="J116" s="223">
        <f t="shared" si="8"/>
        <v>0.7526708333333333</v>
      </c>
    </row>
    <row r="117" spans="1:10" s="54" customFormat="1" ht="25.5">
      <c r="A117" s="138"/>
      <c r="B117" s="138"/>
      <c r="C117" s="138" t="s">
        <v>185</v>
      </c>
      <c r="D117" s="139" t="str">
        <f>IF(A117&gt;0,(LOOKUP(A117,'[1]Dz.'!A:A,'[1]Dz.'!B:B)),(IF(B117&gt;0,(LOOKUP(B117,'[1]Roz.'!A:A,'[1]Roz.'!B:B)),(IF(C117&gt;0,(LOOKUP(C117,'[1]par.'!A:A,'[1]par.'!B:B)),0)))))</f>
        <v>Wydatki na zakupy inwestycyjne jednostek budżetowych</v>
      </c>
      <c r="E117" s="194">
        <v>84000</v>
      </c>
      <c r="F117" s="195"/>
      <c r="G117" s="195">
        <v>30000</v>
      </c>
      <c r="H117" s="195">
        <f t="shared" si="6"/>
        <v>54000</v>
      </c>
      <c r="I117" s="262">
        <v>47370</v>
      </c>
      <c r="J117" s="223">
        <f t="shared" si="8"/>
        <v>0.8772222222222222</v>
      </c>
    </row>
    <row r="118" spans="1:10" s="137" customFormat="1" ht="12.75">
      <c r="A118" s="134"/>
      <c r="B118" s="135" t="s">
        <v>106</v>
      </c>
      <c r="C118" s="135"/>
      <c r="D118" s="136" t="str">
        <f>IF(A118&gt;0,(LOOKUP(A118,'[1]Dz.'!A:A,'[1]Dz.'!B:B)),(IF(B118&gt;0,(LOOKUP(B118,'[1]Roz.'!A:A,'[1]Roz.'!B:B)),(IF(C118&gt;0,(LOOKUP(C118,'[1]par.'!A:A,'[1]par.'!B:B)),0)))))</f>
        <v>Komisje poborowe</v>
      </c>
      <c r="E118" s="191">
        <f>SUM(E119:E128)</f>
        <v>29000</v>
      </c>
      <c r="F118" s="191">
        <f>SUM(F119:F128)</f>
        <v>10046</v>
      </c>
      <c r="G118" s="191">
        <f>SUM(G119:G128)</f>
        <v>10046</v>
      </c>
      <c r="H118" s="192">
        <f t="shared" si="6"/>
        <v>29000</v>
      </c>
      <c r="I118" s="265">
        <f>SUM(I119:I128)</f>
        <v>25963.590000000004</v>
      </c>
      <c r="J118" s="226">
        <f t="shared" si="8"/>
        <v>0.8952962068965519</v>
      </c>
    </row>
    <row r="119" spans="1:10" s="54" customFormat="1" ht="12.75">
      <c r="A119" s="138"/>
      <c r="B119" s="138"/>
      <c r="C119" s="138" t="s">
        <v>163</v>
      </c>
      <c r="D119" s="139" t="str">
        <f>IF(A119&gt;0,(LOOKUP(A119,'[1]Dz.'!A:A,'[1]Dz.'!B:B)),(IF(B119&gt;0,(LOOKUP(B119,'[1]Roz.'!A:A,'[1]Roz.'!B:B)),(IF(C119&gt;0,(LOOKUP(C119,'[1]par.'!A:A,'[1]par.'!B:B)),0)))))</f>
        <v>Wynagrodzenia osobowe pracowników</v>
      </c>
      <c r="E119" s="194">
        <v>6952</v>
      </c>
      <c r="F119" s="195"/>
      <c r="G119" s="195">
        <f>452+6500</f>
        <v>6952</v>
      </c>
      <c r="H119" s="195">
        <f t="shared" si="6"/>
        <v>0</v>
      </c>
      <c r="I119" s="262"/>
      <c r="J119" s="223"/>
    </row>
    <row r="120" spans="1:10" s="54" customFormat="1" ht="12.75">
      <c r="A120" s="138"/>
      <c r="B120" s="138"/>
      <c r="C120" s="138" t="s">
        <v>165</v>
      </c>
      <c r="D120" s="139" t="str">
        <f>IF(A120&gt;0,(LOOKUP(A120,'[1]Dz.'!A:A,'[1]Dz.'!B:B)),(IF(B120&gt;0,(LOOKUP(B120,'[1]Roz.'!A:A,'[1]Roz.'!B:B)),(IF(C120&gt;0,(LOOKUP(C120,'[1]par.'!A:A,'[1]par.'!B:B)),0)))))</f>
        <v>Składki na ubezpieczenia społeczne</v>
      </c>
      <c r="E120" s="194">
        <v>1198</v>
      </c>
      <c r="F120" s="195">
        <v>266</v>
      </c>
      <c r="G120" s="195">
        <v>1108</v>
      </c>
      <c r="H120" s="195">
        <f t="shared" si="6"/>
        <v>356</v>
      </c>
      <c r="I120" s="262">
        <v>355.84</v>
      </c>
      <c r="J120" s="223">
        <f aca="true" t="shared" si="9" ref="J120:J183">I120/H120</f>
        <v>0.9995505617977527</v>
      </c>
    </row>
    <row r="121" spans="1:10" s="54" customFormat="1" ht="12.75">
      <c r="A121" s="138"/>
      <c r="B121" s="138"/>
      <c r="C121" s="138" t="s">
        <v>166</v>
      </c>
      <c r="D121" s="139" t="str">
        <f>IF(A121&gt;0,(LOOKUP(A121,'[1]Dz.'!A:A,'[1]Dz.'!B:B)),(IF(B121&gt;0,(LOOKUP(B121,'[1]Roz.'!A:A,'[1]Roz.'!B:B)),(IF(C121&gt;0,(LOOKUP(C121,'[1]par.'!A:A,'[1]par.'!B:B)),0)))))</f>
        <v>Składki na Fundusz Pracy</v>
      </c>
      <c r="E121" s="194">
        <v>180</v>
      </c>
      <c r="F121" s="195">
        <v>46</v>
      </c>
      <c r="G121" s="195">
        <v>175</v>
      </c>
      <c r="H121" s="195">
        <f t="shared" si="6"/>
        <v>51</v>
      </c>
      <c r="I121" s="262">
        <v>50.72</v>
      </c>
      <c r="J121" s="223">
        <f t="shared" si="9"/>
        <v>0.9945098039215686</v>
      </c>
    </row>
    <row r="122" spans="1:10" s="54" customFormat="1" ht="12.75">
      <c r="A122" s="138"/>
      <c r="B122" s="138"/>
      <c r="C122" s="138" t="s">
        <v>168</v>
      </c>
      <c r="D122" s="139" t="str">
        <f>IF(A122&gt;0,(LOOKUP(A122,'[1]Dz.'!A:A,'[1]Dz.'!B:B)),(IF(B122&gt;0,(LOOKUP(B122,'[1]Roz.'!A:A,'[1]Roz.'!B:B)),(IF(C122&gt;0,(LOOKUP(C122,'[1]par.'!A:A,'[1]par.'!B:B)),0)))))</f>
        <v>Wynagrodzenia bezosobowe</v>
      </c>
      <c r="E122" s="194">
        <v>10660</v>
      </c>
      <c r="F122" s="195">
        <v>6340</v>
      </c>
      <c r="G122" s="195"/>
      <c r="H122" s="195">
        <f t="shared" si="6"/>
        <v>17000</v>
      </c>
      <c r="I122" s="262">
        <v>17000</v>
      </c>
      <c r="J122" s="223">
        <f t="shared" si="9"/>
        <v>1</v>
      </c>
    </row>
    <row r="123" spans="1:10" s="54" customFormat="1" ht="12.75">
      <c r="A123" s="138"/>
      <c r="B123" s="138"/>
      <c r="C123" s="138" t="s">
        <v>156</v>
      </c>
      <c r="D123" s="139" t="str">
        <f>IF(A123&gt;0,(LOOKUP(A123,'[1]Dz.'!A:A,'[1]Dz.'!B:B)),(IF(B123&gt;0,(LOOKUP(B123,'[1]Roz.'!A:A,'[1]Roz.'!B:B)),(IF(C123&gt;0,(LOOKUP(C123,'[1]par.'!A:A,'[1]par.'!B:B)),0)))))</f>
        <v>Zakup materiałów i wyposażenia</v>
      </c>
      <c r="E123" s="194">
        <v>1000</v>
      </c>
      <c r="F123" s="195">
        <v>1656</v>
      </c>
      <c r="G123" s="195">
        <v>477</v>
      </c>
      <c r="H123" s="195">
        <f t="shared" si="6"/>
        <v>2179</v>
      </c>
      <c r="I123" s="262">
        <v>646.75</v>
      </c>
      <c r="J123" s="223">
        <f t="shared" si="9"/>
        <v>0.29681046351537405</v>
      </c>
    </row>
    <row r="124" spans="1:10" s="54" customFormat="1" ht="12.75">
      <c r="A124" s="138"/>
      <c r="B124" s="138"/>
      <c r="C124" s="138" t="s">
        <v>194</v>
      </c>
      <c r="D124" s="139" t="str">
        <f>IF(A124&gt;0,(LOOKUP(A124,'[1]Dz.'!A:A,'[1]Dz.'!B:B)),(IF(B124&gt;0,(LOOKUP(B124,'[1]Roz.'!A:A,'[1]Roz.'!B:B)),(IF(C124&gt;0,(LOOKUP(C124,'[1]par.'!A:A,'[1]par.'!B:B)),0)))))</f>
        <v>Zakup usług zdrowotnych</v>
      </c>
      <c r="E124" s="194">
        <v>7000</v>
      </c>
      <c r="F124" s="195"/>
      <c r="G124" s="195"/>
      <c r="H124" s="195">
        <f t="shared" si="6"/>
        <v>7000</v>
      </c>
      <c r="I124" s="262">
        <v>6080</v>
      </c>
      <c r="J124" s="223">
        <f t="shared" si="9"/>
        <v>0.8685714285714285</v>
      </c>
    </row>
    <row r="125" spans="1:10" s="54" customFormat="1" ht="12.75">
      <c r="A125" s="138"/>
      <c r="B125" s="138"/>
      <c r="C125" s="138" t="s">
        <v>157</v>
      </c>
      <c r="D125" s="139" t="str">
        <f>IF(A125&gt;0,(LOOKUP(A125,'[1]Dz.'!A:A,'[1]Dz.'!B:B)),(IF(B125&gt;0,(LOOKUP(B125,'[1]Roz.'!A:A,'[1]Roz.'!B:B)),(IF(C125&gt;0,(LOOKUP(C125,'[1]par.'!A:A,'[1]par.'!B:B)),0)))))</f>
        <v>Zakup usług pozostałych</v>
      </c>
      <c r="E125" s="194">
        <v>1500</v>
      </c>
      <c r="F125" s="195"/>
      <c r="G125" s="195">
        <v>1334</v>
      </c>
      <c r="H125" s="195">
        <f t="shared" si="6"/>
        <v>166</v>
      </c>
      <c r="I125" s="262">
        <v>34.71</v>
      </c>
      <c r="J125" s="223">
        <f t="shared" si="9"/>
        <v>0.20909638554216867</v>
      </c>
    </row>
    <row r="126" spans="1:10" s="54" customFormat="1" ht="12.75">
      <c r="A126" s="138"/>
      <c r="B126" s="138"/>
      <c r="C126" s="138" t="s">
        <v>174</v>
      </c>
      <c r="D126" s="139" t="str">
        <f>IF(A126&gt;0,(LOOKUP(A126,'[1]Dz.'!A:A,'[1]Dz.'!B:B)),(IF(B126&gt;0,(LOOKUP(B126,'[1]Roz.'!A:A,'[1]Roz.'!B:B)),(IF(C126&gt;0,(LOOKUP(C126,'[1]par.'!A:A,'[1]par.'!B:B)),0)))))</f>
        <v>Podróże służbowe krajowe</v>
      </c>
      <c r="E126" s="194">
        <v>510</v>
      </c>
      <c r="F126" s="195">
        <v>13</v>
      </c>
      <c r="G126" s="195"/>
      <c r="H126" s="195">
        <f t="shared" si="6"/>
        <v>523</v>
      </c>
      <c r="I126" s="262">
        <v>71</v>
      </c>
      <c r="J126" s="223">
        <f t="shared" si="9"/>
        <v>0.13575525812619502</v>
      </c>
    </row>
    <row r="127" spans="1:10" s="54" customFormat="1" ht="38.25">
      <c r="A127" s="138"/>
      <c r="B127" s="138"/>
      <c r="C127" s="150" t="s">
        <v>181</v>
      </c>
      <c r="D127" s="139" t="str">
        <f>IF(A127&gt;0,(LOOKUP(A127,'[1]Dz.'!A:A,'[1]Dz.'!B:B)),(IF(B127&gt;0,(LOOKUP(B127,'[1]Roz.'!A:A,'[1]Roz.'!B:B)),(IF(C127&gt;0,(LOOKUP(C127,'[1]par.'!A:A,'[1]par.'!B:B)),0)))))</f>
        <v>Zakup materiałów papierniczych do sprzętu drukarskego i urządzeń kserograficznych</v>
      </c>
      <c r="E127" s="194"/>
      <c r="F127" s="195">
        <v>185</v>
      </c>
      <c r="G127" s="195"/>
      <c r="H127" s="195">
        <f t="shared" si="6"/>
        <v>185</v>
      </c>
      <c r="I127" s="262">
        <v>184.83</v>
      </c>
      <c r="J127" s="223">
        <f t="shared" si="9"/>
        <v>0.9990810810810812</v>
      </c>
    </row>
    <row r="128" spans="1:10" s="54" customFormat="1" ht="25.5">
      <c r="A128" s="138"/>
      <c r="B128" s="138"/>
      <c r="C128" s="150" t="s">
        <v>182</v>
      </c>
      <c r="D128" s="139" t="str">
        <f>IF(A128&gt;0,(LOOKUP(A128,'[1]Dz.'!A:A,'[1]Dz.'!B:B)),(IF(B128&gt;0,(LOOKUP(B128,'[1]Roz.'!A:A,'[1]Roz.'!B:B)),(IF(C128&gt;0,(LOOKUP(C128,'[1]par.'!A:A,'[1]par.'!B:B)),0)))))</f>
        <v>Zakup akcesoriów komputerowych, w tym programów i licencji</v>
      </c>
      <c r="E128" s="194"/>
      <c r="F128" s="195">
        <f>1215+325</f>
        <v>1540</v>
      </c>
      <c r="G128" s="195"/>
      <c r="H128" s="195">
        <f>E128+F128-G128</f>
        <v>1540</v>
      </c>
      <c r="I128" s="262">
        <v>1539.74</v>
      </c>
      <c r="J128" s="223">
        <f t="shared" si="9"/>
        <v>0.9998311688311688</v>
      </c>
    </row>
    <row r="129" spans="1:10" s="43" customFormat="1" ht="38.25" hidden="1">
      <c r="A129" s="44">
        <v>751</v>
      </c>
      <c r="B129" s="44"/>
      <c r="C129" s="44"/>
      <c r="D129" s="45" t="str">
        <f>IF(A129&gt;0,(LOOKUP(A129,'[1]Dz.'!A:A,'[1]Dz.'!B:B)),(IF(B129&gt;0,(LOOKUP(B129,'[1]Roz.'!A:A,'[1]Roz.'!B:B)),(IF(C129&gt;0,(LOOKUP(C129,'[1]par.'!A:A,'[1]par.'!B:B)),0)))))</f>
        <v>Urzędy naczelnych organów władzy państwowej, kontroli i ochrony prawa oraz sądownictwa</v>
      </c>
      <c r="E129" s="207">
        <v>0</v>
      </c>
      <c r="F129" s="208"/>
      <c r="G129" s="208"/>
      <c r="H129" s="208">
        <f t="shared" si="6"/>
        <v>0</v>
      </c>
      <c r="I129" s="270"/>
      <c r="J129" s="231" t="e">
        <f t="shared" si="9"/>
        <v>#DIV/0!</v>
      </c>
    </row>
    <row r="130" spans="1:10" s="137" customFormat="1" ht="63.75" hidden="1">
      <c r="A130" s="134"/>
      <c r="B130" s="135" t="s">
        <v>195</v>
      </c>
      <c r="C130" s="135"/>
      <c r="D130" s="136" t="str">
        <f>IF(A130&gt;0,(LOOKUP(A130,'[1]Dz.'!A:A,'[1]Dz.'!B:B)),(IF(B130&gt;0,(LOOKUP(B130,'[1]Roz.'!A:A,'[1]Roz.'!B:B)),(IF(C130&gt;0,(LOOKUP(C130,'[1]par.'!A:A,'[1]par.'!B:B)),0)))))</f>
        <v>Wybory do rad gminy,rad powiatów i sejmików województw,wybory wójtów,burmistrzów i prezydentów miast oraz referenda gminne,powiatowe i wojewódzkie</v>
      </c>
      <c r="E130" s="191">
        <v>0</v>
      </c>
      <c r="F130" s="192"/>
      <c r="G130" s="192"/>
      <c r="H130" s="192">
        <f t="shared" si="6"/>
        <v>0</v>
      </c>
      <c r="I130" s="265"/>
      <c r="J130" s="226" t="e">
        <f t="shared" si="9"/>
        <v>#DIV/0!</v>
      </c>
    </row>
    <row r="131" spans="1:10" s="54" customFormat="1" ht="12.75" hidden="1">
      <c r="A131" s="138"/>
      <c r="B131" s="138"/>
      <c r="C131" s="138" t="s">
        <v>165</v>
      </c>
      <c r="D131" s="139" t="str">
        <f>IF(A131&gt;0,(LOOKUP(A131,'[1]Dz.'!A:A,'[1]Dz.'!B:B)),(IF(B131&gt;0,(LOOKUP(B131,'[1]Roz.'!A:A,'[1]Roz.'!B:B)),(IF(C131&gt;0,(LOOKUP(C131,'[1]par.'!A:A,'[1]par.'!B:B)),0)))))</f>
        <v>Składki na ubezpieczenia społeczne</v>
      </c>
      <c r="E131" s="194">
        <v>0</v>
      </c>
      <c r="F131" s="195"/>
      <c r="G131" s="195"/>
      <c r="H131" s="195">
        <f t="shared" si="6"/>
        <v>0</v>
      </c>
      <c r="I131" s="262"/>
      <c r="J131" s="223" t="e">
        <f t="shared" si="9"/>
        <v>#DIV/0!</v>
      </c>
    </row>
    <row r="132" spans="1:10" s="54" customFormat="1" ht="12.75" hidden="1">
      <c r="A132" s="138"/>
      <c r="B132" s="138"/>
      <c r="C132" s="138" t="s">
        <v>166</v>
      </c>
      <c r="D132" s="139" t="str">
        <f>IF(A132&gt;0,(LOOKUP(A132,'[1]Dz.'!A:A,'[1]Dz.'!B:B)),(IF(B132&gt;0,(LOOKUP(B132,'[1]Roz.'!A:A,'[1]Roz.'!B:B)),(IF(C132&gt;0,(LOOKUP(C132,'[1]par.'!A:A,'[1]par.'!B:B)),0)))))</f>
        <v>Składki na Fundusz Pracy</v>
      </c>
      <c r="E132" s="194">
        <v>0</v>
      </c>
      <c r="F132" s="195"/>
      <c r="G132" s="195"/>
      <c r="H132" s="195">
        <f t="shared" si="6"/>
        <v>0</v>
      </c>
      <c r="I132" s="262"/>
      <c r="J132" s="223" t="e">
        <f t="shared" si="9"/>
        <v>#DIV/0!</v>
      </c>
    </row>
    <row r="133" spans="1:10" s="54" customFormat="1" ht="12.75" hidden="1">
      <c r="A133" s="138"/>
      <c r="B133" s="138"/>
      <c r="C133" s="138" t="s">
        <v>168</v>
      </c>
      <c r="D133" s="139" t="str">
        <f>IF(A133&gt;0,(LOOKUP(A133,'[1]Dz.'!A:A,'[1]Dz.'!B:B)),(IF(B133&gt;0,(LOOKUP(B133,'[1]Roz.'!A:A,'[1]Roz.'!B:B)),(IF(C133&gt;0,(LOOKUP(C133,'[1]par.'!A:A,'[1]par.'!B:B)),0)))))</f>
        <v>Wynagrodzenia bezosobowe</v>
      </c>
      <c r="E133" s="194">
        <v>0</v>
      </c>
      <c r="F133" s="195"/>
      <c r="G133" s="195"/>
      <c r="H133" s="195">
        <f t="shared" si="6"/>
        <v>0</v>
      </c>
      <c r="I133" s="262"/>
      <c r="J133" s="223" t="e">
        <f t="shared" si="9"/>
        <v>#DIV/0!</v>
      </c>
    </row>
    <row r="134" spans="1:10" s="54" customFormat="1" ht="12.75" hidden="1">
      <c r="A134" s="138"/>
      <c r="B134" s="138"/>
      <c r="C134" s="138" t="s">
        <v>156</v>
      </c>
      <c r="D134" s="139" t="str">
        <f>IF(A134&gt;0,(LOOKUP(A134,'[1]Dz.'!A:A,'[1]Dz.'!B:B)),(IF(B134&gt;0,(LOOKUP(B134,'[1]Roz.'!A:A,'[1]Roz.'!B:B)),(IF(C134&gt;0,(LOOKUP(C134,'[1]par.'!A:A,'[1]par.'!B:B)),0)))))</f>
        <v>Zakup materiałów i wyposażenia</v>
      </c>
      <c r="E134" s="194">
        <v>0</v>
      </c>
      <c r="F134" s="195"/>
      <c r="G134" s="195"/>
      <c r="H134" s="195">
        <f t="shared" si="6"/>
        <v>0</v>
      </c>
      <c r="I134" s="262"/>
      <c r="J134" s="223" t="e">
        <f t="shared" si="9"/>
        <v>#DIV/0!</v>
      </c>
    </row>
    <row r="135" spans="1:10" s="54" customFormat="1" ht="12.75" hidden="1">
      <c r="A135" s="138"/>
      <c r="B135" s="138"/>
      <c r="C135" s="138" t="s">
        <v>157</v>
      </c>
      <c r="D135" s="139" t="str">
        <f>IF(A135&gt;0,(LOOKUP(A135,'[1]Dz.'!A:A,'[1]Dz.'!B:B)),(IF(B135&gt;0,(LOOKUP(B135,'[1]Roz.'!A:A,'[1]Roz.'!B:B)),(IF(C135&gt;0,(LOOKUP(C135,'[1]par.'!A:A,'[1]par.'!B:B)),0)))))</f>
        <v>Zakup usług pozostałych</v>
      </c>
      <c r="E135" s="194">
        <v>0</v>
      </c>
      <c r="F135" s="195"/>
      <c r="G135" s="195"/>
      <c r="H135" s="195">
        <f t="shared" si="6"/>
        <v>0</v>
      </c>
      <c r="I135" s="262"/>
      <c r="J135" s="223" t="e">
        <f t="shared" si="9"/>
        <v>#DIV/0!</v>
      </c>
    </row>
    <row r="136" spans="1:10" s="54" customFormat="1" ht="12.75" hidden="1">
      <c r="A136" s="145"/>
      <c r="B136" s="145"/>
      <c r="C136" s="145" t="s">
        <v>174</v>
      </c>
      <c r="D136" s="146" t="str">
        <f>IF(A136&gt;0,(LOOKUP(A136,'[1]Dz.'!A:A,'[1]Dz.'!B:B)),(IF(B136&gt;0,(LOOKUP(B136,'[1]Roz.'!A:A,'[1]Roz.'!B:B)),(IF(C136&gt;0,(LOOKUP(C136,'[1]par.'!A:A,'[1]par.'!B:B)),0)))))</f>
        <v>Podróże służbowe krajowe</v>
      </c>
      <c r="E136" s="198">
        <v>0</v>
      </c>
      <c r="F136" s="199"/>
      <c r="G136" s="199"/>
      <c r="H136" s="199">
        <f t="shared" si="6"/>
        <v>0</v>
      </c>
      <c r="I136" s="264"/>
      <c r="J136" s="225" t="e">
        <f t="shared" si="9"/>
        <v>#DIV/0!</v>
      </c>
    </row>
    <row r="137" spans="1:10" s="43" customFormat="1" ht="25.5">
      <c r="A137" s="41">
        <v>754</v>
      </c>
      <c r="B137" s="41"/>
      <c r="C137" s="41"/>
      <c r="D137" s="42" t="str">
        <f>IF(A137&gt;0,(LOOKUP(A137,'[1]Dz.'!A:A,'[1]Dz.'!B:B)),(IF(B137&gt;0,(LOOKUP(B137,'[1]Roz.'!A:A,'[1]Roz.'!B:B)),(IF(C137&gt;0,(LOOKUP(C137,'[1]par.'!A:A,'[1]par.'!B:B)),0)))))</f>
        <v>Bezpieczeństwo publiczne i ochrona przeciwpożarowa</v>
      </c>
      <c r="E137" s="189">
        <f>E138+E140+E168</f>
        <v>2252533</v>
      </c>
      <c r="F137" s="189">
        <f>F138+F140+F168</f>
        <v>188010</v>
      </c>
      <c r="G137" s="189">
        <f>G138+G140+G168</f>
        <v>22073</v>
      </c>
      <c r="H137" s="190">
        <f t="shared" si="6"/>
        <v>2418470</v>
      </c>
      <c r="I137" s="260">
        <f>I138+I140+I168</f>
        <v>1200514.2700000005</v>
      </c>
      <c r="J137" s="221">
        <f t="shared" si="9"/>
        <v>0.4963941128068574</v>
      </c>
    </row>
    <row r="138" spans="1:10" s="137" customFormat="1" ht="12.75">
      <c r="A138" s="134"/>
      <c r="B138" s="135" t="s">
        <v>108</v>
      </c>
      <c r="C138" s="135"/>
      <c r="D138" s="136" t="str">
        <f>IF(A138&gt;0,(LOOKUP(A138,'[1]Dz.'!A:A,'[1]Dz.'!B:B)),(IF(B138&gt;0,(LOOKUP(B138,'[1]Roz.'!A:A,'[1]Roz.'!B:B)),(IF(C138&gt;0,(LOOKUP(C138,'[1]par.'!A:A,'[1]par.'!B:B)),0)))))</f>
        <v>Komendy wojewódzkie Policji</v>
      </c>
      <c r="E138" s="191">
        <f>E139</f>
        <v>20000</v>
      </c>
      <c r="F138" s="191">
        <f>F139</f>
        <v>0</v>
      </c>
      <c r="G138" s="191">
        <f>G139</f>
        <v>0</v>
      </c>
      <c r="H138" s="192">
        <f>E138+F138-G138</f>
        <v>20000</v>
      </c>
      <c r="I138" s="261">
        <f>I139</f>
        <v>20000</v>
      </c>
      <c r="J138" s="222">
        <f t="shared" si="9"/>
        <v>1</v>
      </c>
    </row>
    <row r="139" spans="1:10" s="54" customFormat="1" ht="38.25">
      <c r="A139" s="138"/>
      <c r="B139" s="138"/>
      <c r="C139" s="149">
        <v>6170</v>
      </c>
      <c r="D139" s="169" t="s">
        <v>196</v>
      </c>
      <c r="E139" s="194">
        <v>20000</v>
      </c>
      <c r="F139" s="195"/>
      <c r="G139" s="195"/>
      <c r="H139" s="195">
        <f t="shared" si="6"/>
        <v>20000</v>
      </c>
      <c r="I139" s="262">
        <v>20000</v>
      </c>
      <c r="J139" s="223">
        <f t="shared" si="9"/>
        <v>1</v>
      </c>
    </row>
    <row r="140" spans="1:11" s="137" customFormat="1" ht="25.5">
      <c r="A140" s="134"/>
      <c r="B140" s="135" t="s">
        <v>107</v>
      </c>
      <c r="C140" s="135"/>
      <c r="D140" s="136" t="str">
        <f>IF(A140&gt;0,(LOOKUP(A140,'[1]Dz.'!A:A,'[1]Dz.'!B:B)),(IF(B140&gt;0,(LOOKUP(B140,'[1]Roz.'!A:A,'[1]Roz.'!B:B)),(IF(C140&gt;0,(LOOKUP(C140,'[1]par.'!A:A,'[1]par.'!B:B)),0)))))</f>
        <v>Komendy powiatowe Państwowej Straży Pożarnej</v>
      </c>
      <c r="E140" s="191">
        <f>SUM(E141:E167)</f>
        <v>2231633</v>
      </c>
      <c r="F140" s="191">
        <f>SUM(F141:F167)</f>
        <v>188010</v>
      </c>
      <c r="G140" s="191">
        <f>SUM(G141:G167)</f>
        <v>22073</v>
      </c>
      <c r="H140" s="192">
        <f t="shared" si="6"/>
        <v>2397570</v>
      </c>
      <c r="I140" s="261">
        <f>SUM(I141:I167)</f>
        <v>1180435.8200000005</v>
      </c>
      <c r="J140" s="222">
        <f t="shared" si="9"/>
        <v>0.49234675942725364</v>
      </c>
      <c r="K140" s="193"/>
    </row>
    <row r="141" spans="1:10" s="54" customFormat="1" ht="25.5">
      <c r="A141" s="138"/>
      <c r="B141" s="138"/>
      <c r="C141" s="138" t="s">
        <v>161</v>
      </c>
      <c r="D141" s="139" t="str">
        <f>IF(A141&gt;0,(LOOKUP(A141,'[1]Dz.'!A:A,'[1]Dz.'!B:B)),(IF(B141&gt;0,(LOOKUP(B141,'[1]Roz.'!A:A,'[1]Roz.'!B:B)),(IF(C141&gt;0,(LOOKUP(C141,'[1]par.'!A:A,'[1]par.'!B:B)),0)))))</f>
        <v>Nagrody i wydatki osobowe nie zaliczone do wynagrodzeń</v>
      </c>
      <c r="E141" s="194">
        <v>100</v>
      </c>
      <c r="F141" s="195"/>
      <c r="G141" s="195"/>
      <c r="H141" s="195">
        <f t="shared" si="6"/>
        <v>100</v>
      </c>
      <c r="I141" s="262"/>
      <c r="J141" s="223">
        <f t="shared" si="9"/>
        <v>0</v>
      </c>
    </row>
    <row r="142" spans="1:10" s="54" customFormat="1" ht="38.25">
      <c r="A142" s="138"/>
      <c r="B142" s="138"/>
      <c r="C142" s="138" t="s">
        <v>197</v>
      </c>
      <c r="D142" s="139" t="str">
        <f>IF(A142&gt;0,(LOOKUP(A142,'[1]Dz.'!A:A,'[1]Dz.'!B:B)),(IF(B142&gt;0,(LOOKUP(B142,'[1]Roz.'!A:A,'[1]Roz.'!B:B)),(IF(C142&gt;0,(LOOKUP(C142,'[1]par.'!A:A,'[1]par.'!B:B)),0)))))</f>
        <v>Wydatki osobowe niezaliczane do uposażeń wypłacone żołnierzom i funkcjonariuszom</v>
      </c>
      <c r="E142" s="194">
        <v>96309</v>
      </c>
      <c r="F142" s="195"/>
      <c r="G142" s="195"/>
      <c r="H142" s="195">
        <f t="shared" si="6"/>
        <v>96309</v>
      </c>
      <c r="I142" s="262">
        <v>72480.69</v>
      </c>
      <c r="J142" s="223">
        <f t="shared" si="9"/>
        <v>0.7525848051583964</v>
      </c>
    </row>
    <row r="143" spans="1:10" s="54" customFormat="1" ht="12.75">
      <c r="A143" s="138"/>
      <c r="B143" s="138"/>
      <c r="C143" s="138" t="s">
        <v>163</v>
      </c>
      <c r="D143" s="139" t="str">
        <f>IF(A143&gt;0,(LOOKUP(A143,'[1]Dz.'!A:A,'[1]Dz.'!B:B)),(IF(B143&gt;0,(LOOKUP(B143,'[1]Roz.'!A:A,'[1]Roz.'!B:B)),(IF(C143&gt;0,(LOOKUP(C143,'[1]par.'!A:A,'[1]par.'!B:B)),0)))))</f>
        <v>Wynagrodzenia osobowe pracowników</v>
      </c>
      <c r="E143" s="194">
        <v>16686</v>
      </c>
      <c r="F143" s="195"/>
      <c r="G143" s="195"/>
      <c r="H143" s="195">
        <f t="shared" si="6"/>
        <v>16686</v>
      </c>
      <c r="I143" s="262">
        <v>7105.27</v>
      </c>
      <c r="J143" s="223">
        <f t="shared" si="9"/>
        <v>0.4258222461944145</v>
      </c>
    </row>
    <row r="144" spans="1:10" s="54" customFormat="1" ht="12.75">
      <c r="A144" s="138"/>
      <c r="B144" s="138"/>
      <c r="C144" s="138" t="s">
        <v>164</v>
      </c>
      <c r="D144" s="139" t="str">
        <f>IF(A144&gt;0,(LOOKUP(A144,'[1]Dz.'!A:A,'[1]Dz.'!B:B)),(IF(B144&gt;0,(LOOKUP(B144,'[1]Roz.'!A:A,'[1]Roz.'!B:B)),(IF(C144&gt;0,(LOOKUP(C144,'[1]par.'!A:A,'[1]par.'!B:B)),0)))))</f>
        <v>Dodatkowe wynagrodzenie roczne</v>
      </c>
      <c r="E144" s="194">
        <v>800</v>
      </c>
      <c r="F144" s="195"/>
      <c r="G144" s="195"/>
      <c r="H144" s="195">
        <f t="shared" si="6"/>
        <v>800</v>
      </c>
      <c r="I144" s="262">
        <v>490.11</v>
      </c>
      <c r="J144" s="223">
        <f t="shared" si="9"/>
        <v>0.6126375000000001</v>
      </c>
    </row>
    <row r="145" spans="1:10" s="54" customFormat="1" ht="25.5">
      <c r="A145" s="138"/>
      <c r="B145" s="138"/>
      <c r="C145" s="138" t="s">
        <v>198</v>
      </c>
      <c r="D145" s="139" t="str">
        <f>IF(A145&gt;0,(LOOKUP(A145,'[1]Dz.'!A:A,'[1]Dz.'!B:B)),(IF(B145&gt;0,(LOOKUP(B145,'[1]Roz.'!A:A,'[1]Roz.'!B:B)),(IF(C145&gt;0,(LOOKUP(C145,'[1]par.'!A:A,'[1]par.'!B:B)),0)))))</f>
        <v>Uposażenia żołnierzy zawodowych i nadterminowych oraz funkcjonariuszy</v>
      </c>
      <c r="E145" s="194">
        <v>1441674</v>
      </c>
      <c r="F145" s="195">
        <f>4000+110804</f>
        <v>114804</v>
      </c>
      <c r="G145" s="195"/>
      <c r="H145" s="195">
        <f t="shared" si="6"/>
        <v>1556478</v>
      </c>
      <c r="I145" s="262">
        <v>738870.56</v>
      </c>
      <c r="J145" s="223">
        <f t="shared" si="9"/>
        <v>0.47470671606023346</v>
      </c>
    </row>
    <row r="146" spans="1:10" s="54" customFormat="1" ht="38.25">
      <c r="A146" s="138"/>
      <c r="B146" s="138"/>
      <c r="C146" s="138" t="s">
        <v>199</v>
      </c>
      <c r="D146" s="139" t="str">
        <f>IF(A146&gt;0,(LOOKUP(A146,'[1]Dz.'!A:A,'[1]Dz.'!B:B)),(IF(B146&gt;0,(LOOKUP(B146,'[1]Roz.'!A:A,'[1]Roz.'!B:B)),(IF(C146&gt;0,(LOOKUP(C146,'[1]par.'!A:A,'[1]par.'!B:B)),0)))))</f>
        <v>Pozostałe należności żołnierzy zawodowych i nadterminowych oraz funkcjonariuszy</v>
      </c>
      <c r="E146" s="194">
        <v>59627</v>
      </c>
      <c r="F146" s="195">
        <f>12073+4382</f>
        <v>16455</v>
      </c>
      <c r="G146" s="195"/>
      <c r="H146" s="195">
        <f t="shared" si="6"/>
        <v>76082</v>
      </c>
      <c r="I146" s="262">
        <v>70260.36</v>
      </c>
      <c r="J146" s="223">
        <f t="shared" si="9"/>
        <v>0.9234820325438343</v>
      </c>
    </row>
    <row r="147" spans="1:10" s="54" customFormat="1" ht="38.25">
      <c r="A147" s="138"/>
      <c r="B147" s="138"/>
      <c r="C147" s="138" t="s">
        <v>200</v>
      </c>
      <c r="D147" s="139" t="str">
        <f>IF(A147&gt;0,(LOOKUP(A147,'[1]Dz.'!A:A,'[1]Dz.'!B:B)),(IF(B147&gt;0,(LOOKUP(B147,'[1]Roz.'!A:A,'[1]Roz.'!B:B)),(IF(C147&gt;0,(LOOKUP(C147,'[1]par.'!A:A,'[1]par.'!B:B)),0)))))</f>
        <v>Nagrody roczne dla żołnierzy zawodowych i nadterminowych oraz funkcjonariuszy</v>
      </c>
      <c r="E147" s="194">
        <v>121329</v>
      </c>
      <c r="F147" s="195">
        <v>9333</v>
      </c>
      <c r="G147" s="195"/>
      <c r="H147" s="195">
        <f aca="true" t="shared" si="10" ref="H147:H211">E147+F147-G147</f>
        <v>130662</v>
      </c>
      <c r="I147" s="262">
        <v>110614.19</v>
      </c>
      <c r="J147" s="223">
        <f t="shared" si="9"/>
        <v>0.8465674029174511</v>
      </c>
    </row>
    <row r="148" spans="1:10" s="54" customFormat="1" ht="25.5">
      <c r="A148" s="138"/>
      <c r="B148" s="138"/>
      <c r="C148" s="149" t="s">
        <v>201</v>
      </c>
      <c r="D148" s="139" t="str">
        <f>IF(A148&gt;0,(LOOKUP(A148,'[1]Dz.'!A:A,'[1]Dz.'!B:B)),(IF(B148&gt;0,(LOOKUP(B148,'[1]Roz.'!A:A,'[1]Roz.'!B:B)),(IF(C148&gt;0,(LOOKUP(C148,'[1]par.'!A:A,'[1]par.'!B:B)),0)))))</f>
        <v>Uposażenia i świadczenia pieniężne wyplacane funkcjonariuszom zwolnionym</v>
      </c>
      <c r="E148" s="194">
        <v>54080</v>
      </c>
      <c r="F148" s="195">
        <v>2418</v>
      </c>
      <c r="G148" s="195"/>
      <c r="H148" s="195">
        <f t="shared" si="10"/>
        <v>56498</v>
      </c>
      <c r="I148" s="262">
        <v>11640</v>
      </c>
      <c r="J148" s="223">
        <f t="shared" si="9"/>
        <v>0.2060249920351163</v>
      </c>
    </row>
    <row r="149" spans="1:10" s="54" customFormat="1" ht="12.75">
      <c r="A149" s="138"/>
      <c r="B149" s="138"/>
      <c r="C149" s="138" t="s">
        <v>165</v>
      </c>
      <c r="D149" s="139" t="str">
        <f>IF(A149&gt;0,(LOOKUP(A149,'[1]Dz.'!A:A,'[1]Dz.'!B:B)),(IF(B149&gt;0,(LOOKUP(B149,'[1]Roz.'!A:A,'[1]Roz.'!B:B)),(IF(C149&gt;0,(LOOKUP(C149,'[1]par.'!A:A,'[1]par.'!B:B)),0)))))</f>
        <v>Składki na ubezpieczenia społeczne</v>
      </c>
      <c r="E149" s="194">
        <v>3263</v>
      </c>
      <c r="F149" s="195"/>
      <c r="G149" s="195"/>
      <c r="H149" s="195">
        <f t="shared" si="10"/>
        <v>3263</v>
      </c>
      <c r="I149" s="262">
        <v>1393.83</v>
      </c>
      <c r="J149" s="223">
        <f t="shared" si="9"/>
        <v>0.4271621207477781</v>
      </c>
    </row>
    <row r="150" spans="1:10" s="54" customFormat="1" ht="12.75">
      <c r="A150" s="138"/>
      <c r="B150" s="138"/>
      <c r="C150" s="138" t="s">
        <v>166</v>
      </c>
      <c r="D150" s="139" t="str">
        <f>IF(A150&gt;0,(LOOKUP(A150,'[1]Dz.'!A:A,'[1]Dz.'!B:B)),(IF(B150&gt;0,(LOOKUP(B150,'[1]Roz.'!A:A,'[1]Roz.'!B:B)),(IF(C150&gt;0,(LOOKUP(C150,'[1]par.'!A:A,'[1]par.'!B:B)),0)))))</f>
        <v>Składki na Fundusz Pracy</v>
      </c>
      <c r="E150" s="194">
        <v>443</v>
      </c>
      <c r="F150" s="195"/>
      <c r="G150" s="195"/>
      <c r="H150" s="195">
        <f t="shared" si="10"/>
        <v>443</v>
      </c>
      <c r="I150" s="262">
        <v>29.11</v>
      </c>
      <c r="J150" s="223">
        <f t="shared" si="9"/>
        <v>0.06571106094808127</v>
      </c>
    </row>
    <row r="151" spans="1:10" s="54" customFormat="1" ht="25.5">
      <c r="A151" s="138"/>
      <c r="B151" s="138"/>
      <c r="C151" s="138" t="s">
        <v>202</v>
      </c>
      <c r="D151" s="139" t="str">
        <f>IF(A151&gt;0,(LOOKUP(A151,'[1]Dz.'!A:A,'[1]Dz.'!B:B)),(IF(B151&gt;0,(LOOKUP(B151,'[1]Roz.'!A:A,'[1]Roz.'!B:B)),(IF(C151&gt;0,(LOOKUP(C151,'[1]par.'!A:A,'[1]par.'!B:B)),0)))))</f>
        <v>Równoważniki pieniężne i ekwiwalenty dla żołnierzy i funkcjonariuszy</v>
      </c>
      <c r="E151" s="194">
        <v>87000</v>
      </c>
      <c r="F151" s="195"/>
      <c r="G151" s="195"/>
      <c r="H151" s="195">
        <f t="shared" si="10"/>
        <v>87000</v>
      </c>
      <c r="I151" s="262">
        <v>79371.62</v>
      </c>
      <c r="J151" s="223">
        <f t="shared" si="9"/>
        <v>0.9123174712643678</v>
      </c>
    </row>
    <row r="152" spans="1:10" s="54" customFormat="1" ht="12.75">
      <c r="A152" s="138"/>
      <c r="B152" s="138"/>
      <c r="C152" s="138" t="s">
        <v>156</v>
      </c>
      <c r="D152" s="139" t="str">
        <f>IF(A152&gt;0,(LOOKUP(A152,'[1]Dz.'!A:A,'[1]Dz.'!B:B)),(IF(B152&gt;0,(LOOKUP(B152,'[1]Roz.'!A:A,'[1]Roz.'!B:B)),(IF(C152&gt;0,(LOOKUP(C152,'[1]par.'!A:A,'[1]par.'!B:B)),0)))))</f>
        <v>Zakup materiałów i wyposażenia</v>
      </c>
      <c r="E152" s="194">
        <v>120227</v>
      </c>
      <c r="F152" s="195">
        <v>35000</v>
      </c>
      <c r="G152" s="195">
        <v>12073</v>
      </c>
      <c r="H152" s="195">
        <f t="shared" si="10"/>
        <v>143154</v>
      </c>
      <c r="I152" s="262">
        <v>22780.6</v>
      </c>
      <c r="J152" s="223">
        <f t="shared" si="9"/>
        <v>0.1591335205443089</v>
      </c>
    </row>
    <row r="153" spans="1:10" s="54" customFormat="1" ht="12.75">
      <c r="A153" s="138"/>
      <c r="B153" s="138"/>
      <c r="C153" s="138" t="s">
        <v>169</v>
      </c>
      <c r="D153" s="139" t="str">
        <f>IF(A153&gt;0,(LOOKUP(A153,'[1]Dz.'!A:A,'[1]Dz.'!B:B)),(IF(B153&gt;0,(LOOKUP(B153,'[1]Roz.'!A:A,'[1]Roz.'!B:B)),(IF(C153&gt;0,(LOOKUP(C153,'[1]par.'!A:A,'[1]par.'!B:B)),0)))))</f>
        <v>Zakup energii</v>
      </c>
      <c r="E153" s="194">
        <v>51700</v>
      </c>
      <c r="F153" s="195"/>
      <c r="G153" s="195"/>
      <c r="H153" s="195">
        <f t="shared" si="10"/>
        <v>51700</v>
      </c>
      <c r="I153" s="262">
        <v>23580.31</v>
      </c>
      <c r="J153" s="223">
        <f t="shared" si="9"/>
        <v>0.45609883945841395</v>
      </c>
    </row>
    <row r="154" spans="1:10" s="54" customFormat="1" ht="12.75">
      <c r="A154" s="138"/>
      <c r="B154" s="138"/>
      <c r="C154" s="138" t="s">
        <v>170</v>
      </c>
      <c r="D154" s="139" t="str">
        <f>IF(A154&gt;0,(LOOKUP(A154,'[1]Dz.'!A:A,'[1]Dz.'!B:B)),(IF(B154&gt;0,(LOOKUP(B154,'[1]Roz.'!A:A,'[1]Roz.'!B:B)),(IF(C154&gt;0,(LOOKUP(C154,'[1]par.'!A:A,'[1]par.'!B:B)),0)))))</f>
        <v>Zakup usług remontowych</v>
      </c>
      <c r="E154" s="194">
        <v>34930</v>
      </c>
      <c r="F154" s="195"/>
      <c r="G154" s="195">
        <v>10000</v>
      </c>
      <c r="H154" s="195">
        <f t="shared" si="10"/>
        <v>24930</v>
      </c>
      <c r="I154" s="262">
        <v>9001.42</v>
      </c>
      <c r="J154" s="223">
        <f t="shared" si="9"/>
        <v>0.36106778981147214</v>
      </c>
    </row>
    <row r="155" spans="1:10" s="54" customFormat="1" ht="12.75">
      <c r="A155" s="138"/>
      <c r="B155" s="138"/>
      <c r="C155" s="138" t="s">
        <v>194</v>
      </c>
      <c r="D155" s="139" t="str">
        <f>IF(A155&gt;0,(LOOKUP(A155,'[1]Dz.'!A:A,'[1]Dz.'!B:B)),(IF(B155&gt;0,(LOOKUP(B155,'[1]Roz.'!A:A,'[1]Roz.'!B:B)),(IF(C155&gt;0,(LOOKUP(C155,'[1]par.'!A:A,'[1]par.'!B:B)),0)))))</f>
        <v>Zakup usług zdrowotnych</v>
      </c>
      <c r="E155" s="194">
        <v>9000</v>
      </c>
      <c r="F155" s="195"/>
      <c r="G155" s="195"/>
      <c r="H155" s="195">
        <f t="shared" si="10"/>
        <v>9000</v>
      </c>
      <c r="I155" s="262">
        <v>2312</v>
      </c>
      <c r="J155" s="223">
        <f t="shared" si="9"/>
        <v>0.2568888888888889</v>
      </c>
    </row>
    <row r="156" spans="1:10" s="54" customFormat="1" ht="12.75">
      <c r="A156" s="138"/>
      <c r="B156" s="138"/>
      <c r="C156" s="138" t="s">
        <v>157</v>
      </c>
      <c r="D156" s="139" t="str">
        <f>IF(A156&gt;0,(LOOKUP(A156,'[1]Dz.'!A:A,'[1]Dz.'!B:B)),(IF(B156&gt;0,(LOOKUP(B156,'[1]Roz.'!A:A,'[1]Roz.'!B:B)),(IF(C156&gt;0,(LOOKUP(C156,'[1]par.'!A:A,'[1]par.'!B:B)),0)))))</f>
        <v>Zakup usług pozostałych</v>
      </c>
      <c r="E156" s="194">
        <v>33500</v>
      </c>
      <c r="F156" s="195"/>
      <c r="G156" s="195"/>
      <c r="H156" s="195">
        <f t="shared" si="10"/>
        <v>33500</v>
      </c>
      <c r="I156" s="262">
        <v>11869.12</v>
      </c>
      <c r="J156" s="223">
        <f t="shared" si="9"/>
        <v>0.35430208955223885</v>
      </c>
    </row>
    <row r="157" spans="1:10" s="54" customFormat="1" ht="12.75">
      <c r="A157" s="138"/>
      <c r="B157" s="138"/>
      <c r="C157" s="138" t="s">
        <v>171</v>
      </c>
      <c r="D157" s="139" t="str">
        <f>IF(A157&gt;0,(LOOKUP(A157,'[1]Dz.'!A:A,'[1]Dz.'!B:B)),(IF(B157&gt;0,(LOOKUP(B157,'[1]Roz.'!A:A,'[1]Roz.'!B:B)),(IF(C157&gt;0,(LOOKUP(C157,'[1]par.'!A:A,'[1]par.'!B:B)),0)))))</f>
        <v>Zakup dostępu do sieci internet</v>
      </c>
      <c r="E157" s="194">
        <v>1020</v>
      </c>
      <c r="F157" s="195"/>
      <c r="G157" s="195"/>
      <c r="H157" s="195">
        <f t="shared" si="10"/>
        <v>1020</v>
      </c>
      <c r="I157" s="262">
        <v>505.08</v>
      </c>
      <c r="J157" s="223">
        <f t="shared" si="9"/>
        <v>0.4951764705882353</v>
      </c>
    </row>
    <row r="158" spans="1:10" s="54" customFormat="1" ht="38.25">
      <c r="A158" s="138"/>
      <c r="B158" s="138"/>
      <c r="C158" s="170" t="s">
        <v>172</v>
      </c>
      <c r="D158" s="139" t="str">
        <f>IF(A158&gt;0,(LOOKUP(A158,'[1]Dz.'!A:A,'[1]Dz.'!B:B)),(IF(B158&gt;0,(LOOKUP(B158,'[1]Roz.'!A:A,'[1]Roz.'!B:B)),(IF(C158&gt;0,(LOOKUP(C158,'[1]par.'!A:A,'[1]par.'!B:B)),0)))))</f>
        <v>Opłaty z tytułu zakupu usług telekomunikacyjnych telefonii komórkowej</v>
      </c>
      <c r="E158" s="194">
        <v>2400</v>
      </c>
      <c r="F158" s="195"/>
      <c r="G158" s="195"/>
      <c r="H158" s="195">
        <f t="shared" si="10"/>
        <v>2400</v>
      </c>
      <c r="I158" s="262">
        <v>1031.75</v>
      </c>
      <c r="J158" s="223">
        <f t="shared" si="9"/>
        <v>0.4298958333333333</v>
      </c>
    </row>
    <row r="159" spans="1:10" s="54" customFormat="1" ht="38.25">
      <c r="A159" s="138"/>
      <c r="B159" s="138"/>
      <c r="C159" s="170" t="s">
        <v>173</v>
      </c>
      <c r="D159" s="139" t="str">
        <f>IF(A159&gt;0,(LOOKUP(A159,'[1]Dz.'!A:A,'[1]Dz.'!B:B)),(IF(B159&gt;0,(LOOKUP(B159,'[1]Roz.'!A:A,'[1]Roz.'!B:B)),(IF(C159&gt;0,(LOOKUP(C159,'[1]par.'!A:A,'[1]par.'!B:B)),0)))))</f>
        <v>Opłaty z tytułu zakupu usług telekomunikacyjnych telefonii stacjonarnej</v>
      </c>
      <c r="E159" s="194">
        <v>10000</v>
      </c>
      <c r="F159" s="195"/>
      <c r="G159" s="195"/>
      <c r="H159" s="195">
        <f t="shared" si="10"/>
        <v>10000</v>
      </c>
      <c r="I159" s="262">
        <v>3386.3</v>
      </c>
      <c r="J159" s="223">
        <f t="shared" si="9"/>
        <v>0.33863000000000004</v>
      </c>
    </row>
    <row r="160" spans="1:10" s="54" customFormat="1" ht="12.75">
      <c r="A160" s="138"/>
      <c r="B160" s="138"/>
      <c r="C160" s="138" t="s">
        <v>174</v>
      </c>
      <c r="D160" s="139" t="str">
        <f>IF(A160&gt;0,(LOOKUP(A160,'[1]Dz.'!A:A,'[1]Dz.'!B:B)),(IF(B160&gt;0,(LOOKUP(B160,'[1]Roz.'!A:A,'[1]Roz.'!B:B)),(IF(C160&gt;0,(LOOKUP(C160,'[1]par.'!A:A,'[1]par.'!B:B)),0)))))</f>
        <v>Podróże służbowe krajowe</v>
      </c>
      <c r="E160" s="194">
        <v>2500</v>
      </c>
      <c r="F160" s="195"/>
      <c r="G160" s="195"/>
      <c r="H160" s="195">
        <f t="shared" si="10"/>
        <v>2500</v>
      </c>
      <c r="I160" s="262">
        <v>1482.9</v>
      </c>
      <c r="J160" s="223">
        <f t="shared" si="9"/>
        <v>0.59316</v>
      </c>
    </row>
    <row r="161" spans="1:10" s="54" customFormat="1" ht="12.75">
      <c r="A161" s="138"/>
      <c r="B161" s="138"/>
      <c r="C161" s="138" t="s">
        <v>175</v>
      </c>
      <c r="D161" s="139" t="str">
        <f>IF(A161&gt;0,(LOOKUP(A161,'[1]Dz.'!A:A,'[1]Dz.'!B:B)),(IF(B161&gt;0,(LOOKUP(B161,'[1]Roz.'!A:A,'[1]Roz.'!B:B)),(IF(C161&gt;0,(LOOKUP(C161,'[1]par.'!A:A,'[1]par.'!B:B)),0)))))</f>
        <v>Różne opłaty i składki</v>
      </c>
      <c r="E161" s="194">
        <v>600</v>
      </c>
      <c r="F161" s="195"/>
      <c r="G161" s="195"/>
      <c r="H161" s="195">
        <f t="shared" si="10"/>
        <v>600</v>
      </c>
      <c r="I161" s="262">
        <v>577</v>
      </c>
      <c r="J161" s="223">
        <f t="shared" si="9"/>
        <v>0.9616666666666667</v>
      </c>
    </row>
    <row r="162" spans="1:10" s="54" customFormat="1" ht="25.5">
      <c r="A162" s="138"/>
      <c r="B162" s="138"/>
      <c r="C162" s="138" t="s">
        <v>176</v>
      </c>
      <c r="D162" s="139" t="str">
        <f>IF(A162&gt;0,(LOOKUP(A162,'[1]Dz.'!A:A,'[1]Dz.'!B:B)),(IF(B162&gt;0,(LOOKUP(B162,'[1]Roz.'!A:A,'[1]Roz.'!B:B)),(IF(C162&gt;0,(LOOKUP(C162,'[1]par.'!A:A,'[1]par.'!B:B)),0)))))</f>
        <v>Odpisy na zakladowy fundusz świadczeń socjalnych</v>
      </c>
      <c r="E162" s="194">
        <v>1182</v>
      </c>
      <c r="F162" s="195"/>
      <c r="G162" s="195"/>
      <c r="H162" s="195">
        <f t="shared" si="10"/>
        <v>1182</v>
      </c>
      <c r="I162" s="262">
        <v>887</v>
      </c>
      <c r="J162" s="223">
        <f t="shared" si="9"/>
        <v>0.7504230118443317</v>
      </c>
    </row>
    <row r="163" spans="1:10" s="54" customFormat="1" ht="12.75">
      <c r="A163" s="138"/>
      <c r="B163" s="138"/>
      <c r="C163" s="158" t="s">
        <v>177</v>
      </c>
      <c r="D163" s="139" t="str">
        <f>IF(A163&gt;0,(LOOKUP(A163,'[1]Dz.'!A:A,'[1]Dz.'!B:B)),(IF(B163&gt;0,(LOOKUP(B163,'[1]Roz.'!A:A,'[1]Roz.'!B:B)),(IF(C163&gt;0,(LOOKUP(C163,'[1]par.'!A:A,'[1]par.'!B:B)),0)))))</f>
        <v>Podatek od nieruchomości</v>
      </c>
      <c r="E163" s="194">
        <v>10824</v>
      </c>
      <c r="F163" s="195"/>
      <c r="G163" s="195"/>
      <c r="H163" s="195">
        <f t="shared" si="10"/>
        <v>10824</v>
      </c>
      <c r="I163" s="262">
        <v>5412</v>
      </c>
      <c r="J163" s="223">
        <f t="shared" si="9"/>
        <v>0.5</v>
      </c>
    </row>
    <row r="164" spans="1:10" s="54" customFormat="1" ht="12.75">
      <c r="A164" s="138"/>
      <c r="B164" s="138"/>
      <c r="C164" s="138" t="s">
        <v>203</v>
      </c>
      <c r="D164" s="139" t="str">
        <f>IF(A164&gt;0,(LOOKUP(A164,'[1]Dz.'!A:A,'[1]Dz.'!B:B)),(IF(B164&gt;0,(LOOKUP(B164,'[1]Roz.'!A:A,'[1]Roz.'!B:B)),(IF(C164&gt;0,(LOOKUP(C164,'[1]par.'!A:A,'[1]par.'!B:B)),0)))))</f>
        <v>Opłaty na rzecz budżetu państwa</v>
      </c>
      <c r="E164" s="194">
        <v>239</v>
      </c>
      <c r="F164" s="195"/>
      <c r="G164" s="195"/>
      <c r="H164" s="195">
        <f t="shared" si="10"/>
        <v>239</v>
      </c>
      <c r="I164" s="262">
        <v>159.15</v>
      </c>
      <c r="J164" s="223">
        <f t="shared" si="9"/>
        <v>0.6658995815899582</v>
      </c>
    </row>
    <row r="165" spans="1:10" s="54" customFormat="1" ht="38.25">
      <c r="A165" s="138"/>
      <c r="B165" s="138"/>
      <c r="C165" s="150" t="s">
        <v>181</v>
      </c>
      <c r="D165" s="139" t="str">
        <f>IF(A165&gt;0,(LOOKUP(A165,'[1]Dz.'!A:A,'[1]Dz.'!B:B)),(IF(B165&gt;0,(LOOKUP(B165,'[1]Roz.'!A:A,'[1]Roz.'!B:B)),(IF(C165&gt;0,(LOOKUP(C165,'[1]par.'!A:A,'[1]par.'!B:B)),0)))))</f>
        <v>Zakup materiałów papierniczych do sprzętu drukarskego i urządzeń kserograficznych</v>
      </c>
      <c r="E165" s="194">
        <v>700</v>
      </c>
      <c r="F165" s="195"/>
      <c r="G165" s="195"/>
      <c r="H165" s="195">
        <f t="shared" si="10"/>
        <v>700</v>
      </c>
      <c r="I165" s="262">
        <v>165.84</v>
      </c>
      <c r="J165" s="223">
        <f t="shared" si="9"/>
        <v>0.23691428571428572</v>
      </c>
    </row>
    <row r="166" spans="1:10" s="54" customFormat="1" ht="25.5">
      <c r="A166" s="138"/>
      <c r="B166" s="138"/>
      <c r="C166" s="150" t="s">
        <v>182</v>
      </c>
      <c r="D166" s="139" t="str">
        <f>IF(A166&gt;0,(LOOKUP(A166,'[1]Dz.'!A:A,'[1]Dz.'!B:B)),(IF(B166&gt;0,(LOOKUP(B166,'[1]Roz.'!A:A,'[1]Roz.'!B:B)),(IF(C166&gt;0,(LOOKUP(C166,'[1]par.'!A:A,'[1]par.'!B:B)),0)))))</f>
        <v>Zakup akcesoriów komputerowych, w tym programów i licencji</v>
      </c>
      <c r="E166" s="194">
        <v>1500</v>
      </c>
      <c r="F166" s="195"/>
      <c r="G166" s="195"/>
      <c r="H166" s="195">
        <f t="shared" si="10"/>
        <v>1500</v>
      </c>
      <c r="I166" s="262">
        <v>1069.01</v>
      </c>
      <c r="J166" s="223">
        <f t="shared" si="9"/>
        <v>0.7126733333333334</v>
      </c>
    </row>
    <row r="167" spans="1:10" s="54" customFormat="1" ht="25.5">
      <c r="A167" s="138"/>
      <c r="B167" s="138"/>
      <c r="C167" s="138" t="s">
        <v>183</v>
      </c>
      <c r="D167" s="139" t="str">
        <f>IF(A167&gt;0,(LOOKUP(A167,'[1]Dz.'!A:A,'[1]Dz.'!B:B)),(IF(B167&gt;0,(LOOKUP(B167,'[1]Roz.'!A:A,'[1]Roz.'!B:B)),(IF(C167&gt;0,(LOOKUP(C167,'[1]par.'!A:A,'[1]par.'!B:B)),0)))))</f>
        <v>Wydatki inwestycyjne jednostek budżetowych</v>
      </c>
      <c r="E167" s="194">
        <v>70000</v>
      </c>
      <c r="F167" s="195">
        <v>10000</v>
      </c>
      <c r="G167" s="195"/>
      <c r="H167" s="195">
        <f t="shared" si="10"/>
        <v>80000</v>
      </c>
      <c r="I167" s="262">
        <v>3960.6</v>
      </c>
      <c r="J167" s="223">
        <f t="shared" si="9"/>
        <v>0.049507499999999996</v>
      </c>
    </row>
    <row r="168" spans="1:10" s="137" customFormat="1" ht="12.75">
      <c r="A168" s="134"/>
      <c r="B168" s="135" t="s">
        <v>109</v>
      </c>
      <c r="C168" s="135"/>
      <c r="D168" s="136" t="str">
        <f>IF(A168&gt;0,(LOOKUP(A168,'[1]Dz.'!A:A,'[1]Dz.'!B:B)),(IF(B168&gt;0,(LOOKUP(B168,'[1]Roz.'!A:A,'[1]Roz.'!B:B)),(IF(C168&gt;0,(LOOKUP(C168,'[1]par.'!A:A,'[1]par.'!B:B)),0)))))</f>
        <v>Pozostała działalność</v>
      </c>
      <c r="E168" s="191">
        <f>E169</f>
        <v>900</v>
      </c>
      <c r="F168" s="191">
        <f>F169</f>
        <v>0</v>
      </c>
      <c r="G168" s="191">
        <f>G169</f>
        <v>0</v>
      </c>
      <c r="H168" s="192">
        <f t="shared" si="10"/>
        <v>900</v>
      </c>
      <c r="I168" s="261">
        <f>I169</f>
        <v>78.45</v>
      </c>
      <c r="J168" s="222">
        <f t="shared" si="9"/>
        <v>0.08716666666666667</v>
      </c>
    </row>
    <row r="169" spans="1:10" s="54" customFormat="1" ht="12.75">
      <c r="A169" s="147"/>
      <c r="B169" s="147"/>
      <c r="C169" s="147" t="s">
        <v>174</v>
      </c>
      <c r="D169" s="148" t="str">
        <f>IF(A169&gt;0,(LOOKUP(A169,'[1]Dz.'!A:A,'[1]Dz.'!B:B)),(IF(B169&gt;0,(LOOKUP(B169,'[1]Roz.'!A:A,'[1]Roz.'!B:B)),(IF(C169&gt;0,(LOOKUP(C169,'[1]par.'!A:A,'[1]par.'!B:B)),0)))))</f>
        <v>Podróże służbowe krajowe</v>
      </c>
      <c r="E169" s="200">
        <v>900</v>
      </c>
      <c r="F169" s="201"/>
      <c r="G169" s="201"/>
      <c r="H169" s="201">
        <f t="shared" si="10"/>
        <v>900</v>
      </c>
      <c r="I169" s="266">
        <v>78.45</v>
      </c>
      <c r="J169" s="227">
        <f t="shared" si="9"/>
        <v>0.08716666666666667</v>
      </c>
    </row>
    <row r="170" spans="1:10" s="43" customFormat="1" ht="12.75">
      <c r="A170" s="41">
        <v>757</v>
      </c>
      <c r="B170" s="41"/>
      <c r="C170" s="41"/>
      <c r="D170" s="42" t="str">
        <f>IF(A170&gt;0,(LOOKUP(A170,'[1]Dz.'!A:A,'[1]Dz.'!B:B)),(IF(B170&gt;0,(LOOKUP(B170,'[1]Roz.'!A:A,'[1]Roz.'!B:B)),(IF(C170&gt;0,(LOOKUP(C170,'[1]par.'!A:A,'[1]par.'!B:B)),0)))))</f>
        <v>Obsługa długu publicznego</v>
      </c>
      <c r="E170" s="189">
        <f aca="true" t="shared" si="11" ref="E170:G171">E171</f>
        <v>269639</v>
      </c>
      <c r="F170" s="189">
        <f t="shared" si="11"/>
        <v>0</v>
      </c>
      <c r="G170" s="189">
        <f t="shared" si="11"/>
        <v>0</v>
      </c>
      <c r="H170" s="190">
        <f t="shared" si="10"/>
        <v>269639</v>
      </c>
      <c r="I170" s="260">
        <f>I171</f>
        <v>47356.01</v>
      </c>
      <c r="J170" s="221">
        <f t="shared" si="9"/>
        <v>0.17562745003504687</v>
      </c>
    </row>
    <row r="171" spans="1:10" s="137" customFormat="1" ht="38.25">
      <c r="A171" s="134"/>
      <c r="B171" s="135" t="s">
        <v>110</v>
      </c>
      <c r="C171" s="135"/>
      <c r="D171" s="136" t="str">
        <f>IF(A171&gt;0,(LOOKUP(A171,'[1]Dz.'!A:A,'[1]Dz.'!B:B)),(IF(B171&gt;0,(LOOKUP(B171,'[1]Roz.'!A:A,'[1]Roz.'!B:B)),(IF(C171&gt;0,(LOOKUP(C171,'[1]par.'!A:A,'[1]par.'!B:B)),0)))))</f>
        <v>Obsługa papierów wartościowych, kredytów i pożyczek jednostek samorządu terytorialnego</v>
      </c>
      <c r="E171" s="191">
        <f t="shared" si="11"/>
        <v>269639</v>
      </c>
      <c r="F171" s="191">
        <f t="shared" si="11"/>
        <v>0</v>
      </c>
      <c r="G171" s="191">
        <f t="shared" si="11"/>
        <v>0</v>
      </c>
      <c r="H171" s="192">
        <f t="shared" si="10"/>
        <v>269639</v>
      </c>
      <c r="I171" s="261">
        <f>I172</f>
        <v>47356.01</v>
      </c>
      <c r="J171" s="222">
        <f t="shared" si="9"/>
        <v>0.17562745003504687</v>
      </c>
    </row>
    <row r="172" spans="1:10" s="54" customFormat="1" ht="38.25">
      <c r="A172" s="147"/>
      <c r="B172" s="147"/>
      <c r="C172" s="147" t="s">
        <v>204</v>
      </c>
      <c r="D172" s="148" t="str">
        <f>IF(A172&gt;0,(LOOKUP(A172,'[1]Dz.'!A:A,'[1]Dz.'!B:B)),(IF(B172&gt;0,(LOOKUP(B172,'[1]Roz.'!A:A,'[1]Roz.'!B:B)),(IF(C172&gt;0,(LOOKUP(C172,'[1]par.'!A:A,'[1]par.'!B:B)),0)))))</f>
        <v>Odsetki i dyskonto od krajowych skarbowych papierów wartościowych oraz od krajowych pożyczek i kredytów</v>
      </c>
      <c r="E172" s="200">
        <v>269639</v>
      </c>
      <c r="F172" s="201"/>
      <c r="G172" s="201"/>
      <c r="H172" s="201">
        <f t="shared" si="10"/>
        <v>269639</v>
      </c>
      <c r="I172" s="266">
        <v>47356.01</v>
      </c>
      <c r="J172" s="227">
        <f t="shared" si="9"/>
        <v>0.17562745003504687</v>
      </c>
    </row>
    <row r="173" spans="1:10" s="43" customFormat="1" ht="12.75">
      <c r="A173" s="41">
        <v>758</v>
      </c>
      <c r="B173" s="41"/>
      <c r="C173" s="41"/>
      <c r="D173" s="42" t="str">
        <f>IF(A173&gt;0,(LOOKUP(A173,'[1]Dz.'!A:A,'[1]Dz.'!B:B)),(IF(B173&gt;0,(LOOKUP(B173,'[1]Roz.'!A:A,'[1]Roz.'!B:B)),(IF(C173&gt;0,(LOOKUP(C173,'[1]par.'!A:A,'[1]par.'!B:B)),0)))))</f>
        <v>Różne rozliczenia</v>
      </c>
      <c r="E173" s="189">
        <f aca="true" t="shared" si="12" ref="E173:G174">E174</f>
        <v>779183</v>
      </c>
      <c r="F173" s="189">
        <f t="shared" si="12"/>
        <v>328417</v>
      </c>
      <c r="G173" s="189">
        <f t="shared" si="12"/>
        <v>791116</v>
      </c>
      <c r="H173" s="190">
        <f t="shared" si="10"/>
        <v>316484</v>
      </c>
      <c r="I173" s="260">
        <f>I174</f>
        <v>0</v>
      </c>
      <c r="J173" s="221">
        <f t="shared" si="9"/>
        <v>0</v>
      </c>
    </row>
    <row r="174" spans="1:10" s="137" customFormat="1" ht="12.75">
      <c r="A174" s="134"/>
      <c r="B174" s="135" t="s">
        <v>111</v>
      </c>
      <c r="C174" s="135"/>
      <c r="D174" s="136" t="str">
        <f>IF(A174&gt;0,(LOOKUP(A174,'[1]Dz.'!A:A,'[1]Dz.'!B:B)),(IF(B174&gt;0,(LOOKUP(B174,'[1]Roz.'!A:A,'[1]Roz.'!B:B)),(IF(C174&gt;0,(LOOKUP(C174,'[1]par.'!A:A,'[1]par.'!B:B)),0)))))</f>
        <v>Rezerwy ogólne i celowe</v>
      </c>
      <c r="E174" s="191">
        <f t="shared" si="12"/>
        <v>779183</v>
      </c>
      <c r="F174" s="191">
        <f t="shared" si="12"/>
        <v>328417</v>
      </c>
      <c r="G174" s="191">
        <f t="shared" si="12"/>
        <v>791116</v>
      </c>
      <c r="H174" s="192">
        <f t="shared" si="10"/>
        <v>316484</v>
      </c>
      <c r="I174" s="261">
        <f>I175</f>
        <v>0</v>
      </c>
      <c r="J174" s="222">
        <f t="shared" si="9"/>
        <v>0</v>
      </c>
    </row>
    <row r="175" spans="1:10" s="54" customFormat="1" ht="12.75">
      <c r="A175" s="147"/>
      <c r="B175" s="147"/>
      <c r="C175" s="147" t="s">
        <v>205</v>
      </c>
      <c r="D175" s="148" t="str">
        <f>IF(A175&gt;0,(LOOKUP(A175,'[1]Dz.'!A:A,'[1]Dz.'!B:B)),(IF(B175&gt;0,(LOOKUP(B175,'[1]Roz.'!A:A,'[1]Roz.'!B:B)),(IF(C175&gt;0,(LOOKUP(C175,'[1]par.'!A:A,'[1]par.'!B:B)),0)))))</f>
        <v>Rezerwy </v>
      </c>
      <c r="E175" s="200">
        <v>779183</v>
      </c>
      <c r="F175" s="201">
        <f>108417+220000</f>
        <v>328417</v>
      </c>
      <c r="G175" s="201">
        <f>3400+58332+320340+254000+155044</f>
        <v>791116</v>
      </c>
      <c r="H175" s="201">
        <f t="shared" si="10"/>
        <v>316484</v>
      </c>
      <c r="I175" s="266"/>
      <c r="J175" s="227">
        <f t="shared" si="9"/>
        <v>0</v>
      </c>
    </row>
    <row r="176" spans="1:10" s="43" customFormat="1" ht="12.75">
      <c r="A176" s="41">
        <v>801</v>
      </c>
      <c r="B176" s="41"/>
      <c r="C176" s="41"/>
      <c r="D176" s="42" t="s">
        <v>74</v>
      </c>
      <c r="E176" s="189">
        <f>E177+E184+E191+E212+E252+E259+E261</f>
        <v>14106933</v>
      </c>
      <c r="F176" s="189">
        <f>F177+F184+F191+F212+F252+F259+F261</f>
        <v>730200</v>
      </c>
      <c r="G176" s="189">
        <f>G177+G184+G191+G212+G252+G259+G261</f>
        <v>172357</v>
      </c>
      <c r="H176" s="190">
        <f t="shared" si="10"/>
        <v>14664776</v>
      </c>
      <c r="I176" s="260">
        <f>I177+I184+I191+I212+I252+I259+I261</f>
        <v>7608675.83</v>
      </c>
      <c r="J176" s="221">
        <f t="shared" si="9"/>
        <v>0.5188402352685101</v>
      </c>
    </row>
    <row r="177" spans="1:10" s="137" customFormat="1" ht="12.75">
      <c r="A177" s="134"/>
      <c r="B177" s="135" t="s">
        <v>112</v>
      </c>
      <c r="C177" s="135"/>
      <c r="D177" s="136" t="s">
        <v>113</v>
      </c>
      <c r="E177" s="191">
        <f>SUM(E178:E183)</f>
        <v>580293</v>
      </c>
      <c r="F177" s="191">
        <f>SUM(F178:F183)</f>
        <v>0</v>
      </c>
      <c r="G177" s="191">
        <f>SUM(G178:G183)</f>
        <v>0</v>
      </c>
      <c r="H177" s="192">
        <f t="shared" si="10"/>
        <v>580293</v>
      </c>
      <c r="I177" s="261">
        <f>SUM(I178:I183)</f>
        <v>297266.14</v>
      </c>
      <c r="J177" s="222">
        <f t="shared" si="9"/>
        <v>0.5122690433970426</v>
      </c>
    </row>
    <row r="178" spans="1:10" s="54" customFormat="1" ht="25.5">
      <c r="A178" s="138"/>
      <c r="B178" s="138"/>
      <c r="C178" s="138" t="s">
        <v>161</v>
      </c>
      <c r="D178" s="139" t="s">
        <v>206</v>
      </c>
      <c r="E178" s="194">
        <v>1336</v>
      </c>
      <c r="F178" s="195"/>
      <c r="G178" s="195"/>
      <c r="H178" s="195">
        <f t="shared" si="10"/>
        <v>1336</v>
      </c>
      <c r="I178" s="262"/>
      <c r="J178" s="223">
        <f t="shared" si="9"/>
        <v>0</v>
      </c>
    </row>
    <row r="179" spans="1:10" s="54" customFormat="1" ht="12.75">
      <c r="A179" s="138"/>
      <c r="B179" s="138"/>
      <c r="C179" s="138" t="s">
        <v>163</v>
      </c>
      <c r="D179" s="139" t="s">
        <v>207</v>
      </c>
      <c r="E179" s="194">
        <v>441863</v>
      </c>
      <c r="F179" s="195"/>
      <c r="G179" s="195"/>
      <c r="H179" s="195">
        <f t="shared" si="10"/>
        <v>441863</v>
      </c>
      <c r="I179" s="262">
        <v>212467.5</v>
      </c>
      <c r="J179" s="223">
        <f t="shared" si="9"/>
        <v>0.48084474146964107</v>
      </c>
    </row>
    <row r="180" spans="1:10" s="54" customFormat="1" ht="12.75">
      <c r="A180" s="138"/>
      <c r="B180" s="138"/>
      <c r="C180" s="138" t="s">
        <v>164</v>
      </c>
      <c r="D180" s="139" t="s">
        <v>208</v>
      </c>
      <c r="E180" s="194">
        <v>25876</v>
      </c>
      <c r="F180" s="195"/>
      <c r="G180" s="195"/>
      <c r="H180" s="195">
        <f t="shared" si="10"/>
        <v>25876</v>
      </c>
      <c r="I180" s="262">
        <v>25875.36</v>
      </c>
      <c r="J180" s="223">
        <f t="shared" si="9"/>
        <v>0.9999752666563612</v>
      </c>
    </row>
    <row r="181" spans="1:10" s="54" customFormat="1" ht="12.75">
      <c r="A181" s="138"/>
      <c r="B181" s="138"/>
      <c r="C181" s="138" t="s">
        <v>165</v>
      </c>
      <c r="D181" s="139" t="s">
        <v>209</v>
      </c>
      <c r="E181" s="194">
        <v>79950</v>
      </c>
      <c r="F181" s="195"/>
      <c r="G181" s="195"/>
      <c r="H181" s="195">
        <f t="shared" si="10"/>
        <v>79950</v>
      </c>
      <c r="I181" s="262">
        <v>38452.41</v>
      </c>
      <c r="J181" s="223">
        <f t="shared" si="9"/>
        <v>0.48095572232645406</v>
      </c>
    </row>
    <row r="182" spans="1:10" s="54" customFormat="1" ht="12.75">
      <c r="A182" s="138"/>
      <c r="B182" s="138"/>
      <c r="C182" s="138" t="s">
        <v>166</v>
      </c>
      <c r="D182" s="139" t="s">
        <v>210</v>
      </c>
      <c r="E182" s="194">
        <v>11396</v>
      </c>
      <c r="F182" s="195"/>
      <c r="G182" s="195"/>
      <c r="H182" s="195">
        <f t="shared" si="10"/>
        <v>11396</v>
      </c>
      <c r="I182" s="262">
        <v>5470.87</v>
      </c>
      <c r="J182" s="223">
        <f t="shared" si="9"/>
        <v>0.48006932256932255</v>
      </c>
    </row>
    <row r="183" spans="1:10" s="54" customFormat="1" ht="25.5">
      <c r="A183" s="138"/>
      <c r="B183" s="138"/>
      <c r="C183" s="138" t="s">
        <v>176</v>
      </c>
      <c r="D183" s="139" t="s">
        <v>211</v>
      </c>
      <c r="E183" s="194">
        <v>19872</v>
      </c>
      <c r="F183" s="195"/>
      <c r="G183" s="195"/>
      <c r="H183" s="195">
        <f t="shared" si="10"/>
        <v>19872</v>
      </c>
      <c r="I183" s="262">
        <v>15000</v>
      </c>
      <c r="J183" s="223">
        <f t="shared" si="9"/>
        <v>0.7548309178743962</v>
      </c>
    </row>
    <row r="184" spans="1:10" s="137" customFormat="1" ht="12.75">
      <c r="A184" s="134"/>
      <c r="B184" s="135" t="s">
        <v>114</v>
      </c>
      <c r="C184" s="135"/>
      <c r="D184" s="136" t="s">
        <v>115</v>
      </c>
      <c r="E184" s="191">
        <f>SUM(E185:E190)</f>
        <v>553298</v>
      </c>
      <c r="F184" s="191">
        <f>SUM(F185:F190)</f>
        <v>0</v>
      </c>
      <c r="G184" s="191">
        <f>SUM(G185:G190)</f>
        <v>44000</v>
      </c>
      <c r="H184" s="192">
        <f t="shared" si="10"/>
        <v>509298</v>
      </c>
      <c r="I184" s="261">
        <f>SUM(I185:I190)</f>
        <v>263367.87</v>
      </c>
      <c r="J184" s="222">
        <f aca="true" t="shared" si="13" ref="J184:J247">I184/H184</f>
        <v>0.5171193878632941</v>
      </c>
    </row>
    <row r="185" spans="1:10" s="54" customFormat="1" ht="25.5">
      <c r="A185" s="138"/>
      <c r="B185" s="138"/>
      <c r="C185" s="138" t="s">
        <v>161</v>
      </c>
      <c r="D185" s="139" t="s">
        <v>206</v>
      </c>
      <c r="E185" s="194">
        <v>1267</v>
      </c>
      <c r="F185" s="195"/>
      <c r="G185" s="195"/>
      <c r="H185" s="195">
        <f t="shared" si="10"/>
        <v>1267</v>
      </c>
      <c r="I185" s="262"/>
      <c r="J185" s="223">
        <f t="shared" si="13"/>
        <v>0</v>
      </c>
    </row>
    <row r="186" spans="1:10" s="54" customFormat="1" ht="12.75">
      <c r="A186" s="138"/>
      <c r="B186" s="138"/>
      <c r="C186" s="138" t="s">
        <v>163</v>
      </c>
      <c r="D186" s="139" t="s">
        <v>207</v>
      </c>
      <c r="E186" s="194">
        <v>421673</v>
      </c>
      <c r="F186" s="195"/>
      <c r="G186" s="195">
        <v>44000</v>
      </c>
      <c r="H186" s="195">
        <f t="shared" si="10"/>
        <v>377673</v>
      </c>
      <c r="I186" s="262">
        <v>181448.67</v>
      </c>
      <c r="J186" s="223">
        <f t="shared" si="13"/>
        <v>0.48043855398717944</v>
      </c>
    </row>
    <row r="187" spans="1:10" s="54" customFormat="1" ht="12.75">
      <c r="A187" s="138"/>
      <c r="B187" s="138"/>
      <c r="C187" s="138" t="s">
        <v>164</v>
      </c>
      <c r="D187" s="139" t="s">
        <v>208</v>
      </c>
      <c r="E187" s="194">
        <v>30779</v>
      </c>
      <c r="F187" s="195"/>
      <c r="G187" s="195"/>
      <c r="H187" s="195">
        <f t="shared" si="10"/>
        <v>30779</v>
      </c>
      <c r="I187" s="262">
        <v>30778.35</v>
      </c>
      <c r="J187" s="223">
        <f t="shared" si="13"/>
        <v>0.9999788817050586</v>
      </c>
    </row>
    <row r="188" spans="1:10" s="54" customFormat="1" ht="12.75">
      <c r="A188" s="138"/>
      <c r="B188" s="138"/>
      <c r="C188" s="138" t="s">
        <v>165</v>
      </c>
      <c r="D188" s="139" t="s">
        <v>209</v>
      </c>
      <c r="E188" s="194">
        <v>75641</v>
      </c>
      <c r="F188" s="195"/>
      <c r="G188" s="195"/>
      <c r="H188" s="195">
        <f t="shared" si="10"/>
        <v>75641</v>
      </c>
      <c r="I188" s="262">
        <v>36016.57</v>
      </c>
      <c r="J188" s="223">
        <f t="shared" si="13"/>
        <v>0.47615142581404263</v>
      </c>
    </row>
    <row r="189" spans="1:10" s="54" customFormat="1" ht="12.75">
      <c r="A189" s="138"/>
      <c r="B189" s="138"/>
      <c r="C189" s="138" t="s">
        <v>166</v>
      </c>
      <c r="D189" s="139" t="s">
        <v>210</v>
      </c>
      <c r="E189" s="194">
        <v>10762</v>
      </c>
      <c r="F189" s="195"/>
      <c r="G189" s="195"/>
      <c r="H189" s="195">
        <f t="shared" si="10"/>
        <v>10762</v>
      </c>
      <c r="I189" s="262">
        <v>5124.28</v>
      </c>
      <c r="J189" s="223">
        <f t="shared" si="13"/>
        <v>0.47614569782568295</v>
      </c>
    </row>
    <row r="190" spans="1:10" s="54" customFormat="1" ht="25.5">
      <c r="A190" s="138"/>
      <c r="B190" s="138"/>
      <c r="C190" s="138" t="s">
        <v>176</v>
      </c>
      <c r="D190" s="139" t="s">
        <v>211</v>
      </c>
      <c r="E190" s="194">
        <v>13176</v>
      </c>
      <c r="F190" s="195"/>
      <c r="G190" s="195"/>
      <c r="H190" s="195">
        <f t="shared" si="10"/>
        <v>13176</v>
      </c>
      <c r="I190" s="262">
        <v>10000</v>
      </c>
      <c r="J190" s="223">
        <f t="shared" si="13"/>
        <v>0.7589556769884639</v>
      </c>
    </row>
    <row r="191" spans="1:10" s="54" customFormat="1" ht="12.75">
      <c r="A191" s="138"/>
      <c r="B191" s="171" t="s">
        <v>116</v>
      </c>
      <c r="C191" s="171"/>
      <c r="D191" s="172" t="s">
        <v>75</v>
      </c>
      <c r="E191" s="209">
        <f>SUM(E192:E211)</f>
        <v>1487097</v>
      </c>
      <c r="F191" s="209">
        <f>SUM(F192:F211)</f>
        <v>75508</v>
      </c>
      <c r="G191" s="209">
        <f>SUM(G192:G211)</f>
        <v>3000</v>
      </c>
      <c r="H191" s="210">
        <f t="shared" si="10"/>
        <v>1559605</v>
      </c>
      <c r="I191" s="271">
        <f>SUM(I192:I211)</f>
        <v>850170.67</v>
      </c>
      <c r="J191" s="232">
        <f t="shared" si="13"/>
        <v>0.5451192257013795</v>
      </c>
    </row>
    <row r="192" spans="1:10" s="54" customFormat="1" ht="12.75">
      <c r="A192" s="138"/>
      <c r="B192" s="170"/>
      <c r="C192" s="170" t="s">
        <v>161</v>
      </c>
      <c r="D192" s="173" t="s">
        <v>206</v>
      </c>
      <c r="E192" s="211">
        <v>8878</v>
      </c>
      <c r="F192" s="195"/>
      <c r="G192" s="195"/>
      <c r="H192" s="195">
        <f t="shared" si="10"/>
        <v>8878</v>
      </c>
      <c r="I192" s="262">
        <v>4056</v>
      </c>
      <c r="J192" s="223">
        <f t="shared" si="13"/>
        <v>0.4568596530750169</v>
      </c>
    </row>
    <row r="193" spans="1:10" s="54" customFormat="1" ht="25.5">
      <c r="A193" s="138"/>
      <c r="B193" s="138"/>
      <c r="C193" s="138" t="s">
        <v>228</v>
      </c>
      <c r="D193" s="139" t="str">
        <f>IF(A193&gt;0,(LOOKUP(A193,'[1]Dz.'!A:A,'[1]Dz.'!B:B)),(IF(B193&gt;0,(LOOKUP(B193,'[1]Roz.'!A:A,'[1]Roz.'!B:B)),(IF(C193&gt;0,(LOOKUP(C193,'[1]par.'!A:A,'[1]par.'!B:B)),0)))))</f>
        <v>Stypendia oraz inne formy pomocy dla uczniów</v>
      </c>
      <c r="E193" s="194">
        <v>0</v>
      </c>
      <c r="F193" s="195">
        <v>2800</v>
      </c>
      <c r="G193" s="195"/>
      <c r="H193" s="195">
        <f t="shared" si="10"/>
        <v>2800</v>
      </c>
      <c r="I193" s="262">
        <v>2800</v>
      </c>
      <c r="J193" s="223">
        <f t="shared" si="13"/>
        <v>1</v>
      </c>
    </row>
    <row r="194" spans="1:10" s="54" customFormat="1" ht="12.75">
      <c r="A194" s="138"/>
      <c r="B194" s="170"/>
      <c r="C194" s="170" t="s">
        <v>163</v>
      </c>
      <c r="D194" s="173" t="s">
        <v>207</v>
      </c>
      <c r="E194" s="211">
        <v>1031151</v>
      </c>
      <c r="F194" s="195">
        <v>56822</v>
      </c>
      <c r="G194" s="195"/>
      <c r="H194" s="195">
        <f t="shared" si="10"/>
        <v>1087973</v>
      </c>
      <c r="I194" s="262">
        <v>542322.57</v>
      </c>
      <c r="J194" s="223">
        <f t="shared" si="13"/>
        <v>0.4984706146200319</v>
      </c>
    </row>
    <row r="195" spans="1:10" s="54" customFormat="1" ht="12.75">
      <c r="A195" s="138"/>
      <c r="B195" s="170"/>
      <c r="C195" s="170" t="s">
        <v>164</v>
      </c>
      <c r="D195" s="173" t="s">
        <v>208</v>
      </c>
      <c r="E195" s="211">
        <v>82613</v>
      </c>
      <c r="F195" s="195"/>
      <c r="G195" s="195"/>
      <c r="H195" s="195">
        <f t="shared" si="10"/>
        <v>82613</v>
      </c>
      <c r="I195" s="262">
        <v>82613.3</v>
      </c>
      <c r="J195" s="223">
        <f t="shared" si="13"/>
        <v>1.000003631389733</v>
      </c>
    </row>
    <row r="196" spans="1:10" s="54" customFormat="1" ht="12.75">
      <c r="A196" s="138"/>
      <c r="B196" s="170"/>
      <c r="C196" s="170" t="s">
        <v>165</v>
      </c>
      <c r="D196" s="173" t="s">
        <v>209</v>
      </c>
      <c r="E196" s="211">
        <v>188579</v>
      </c>
      <c r="F196" s="195">
        <v>9781</v>
      </c>
      <c r="G196" s="195"/>
      <c r="H196" s="195">
        <f t="shared" si="10"/>
        <v>198360</v>
      </c>
      <c r="I196" s="262">
        <v>105077.28</v>
      </c>
      <c r="J196" s="223">
        <f t="shared" si="13"/>
        <v>0.52973018753781</v>
      </c>
    </row>
    <row r="197" spans="1:10" s="54" customFormat="1" ht="12.75">
      <c r="A197" s="138"/>
      <c r="B197" s="170"/>
      <c r="C197" s="170" t="s">
        <v>166</v>
      </c>
      <c r="D197" s="173" t="s">
        <v>210</v>
      </c>
      <c r="E197" s="211">
        <v>26435</v>
      </c>
      <c r="F197" s="195">
        <v>1392</v>
      </c>
      <c r="G197" s="195"/>
      <c r="H197" s="195">
        <f t="shared" si="10"/>
        <v>27827</v>
      </c>
      <c r="I197" s="262">
        <v>14348.02</v>
      </c>
      <c r="J197" s="223">
        <f t="shared" si="13"/>
        <v>0.5156150501311676</v>
      </c>
    </row>
    <row r="198" spans="1:10" s="54" customFormat="1" ht="12.75">
      <c r="A198" s="138"/>
      <c r="B198" s="170"/>
      <c r="C198" s="170" t="s">
        <v>156</v>
      </c>
      <c r="D198" s="173" t="s">
        <v>212</v>
      </c>
      <c r="E198" s="211">
        <v>11093</v>
      </c>
      <c r="F198" s="195"/>
      <c r="G198" s="195"/>
      <c r="H198" s="195">
        <f t="shared" si="10"/>
        <v>11093</v>
      </c>
      <c r="I198" s="262">
        <v>8552.69</v>
      </c>
      <c r="J198" s="223">
        <f t="shared" si="13"/>
        <v>0.7709988280897864</v>
      </c>
    </row>
    <row r="199" spans="1:10" s="54" customFormat="1" ht="12.75">
      <c r="A199" s="138"/>
      <c r="B199" s="170"/>
      <c r="C199" s="170" t="s">
        <v>213</v>
      </c>
      <c r="D199" s="173" t="s">
        <v>214</v>
      </c>
      <c r="E199" s="211">
        <v>6542</v>
      </c>
      <c r="F199" s="195"/>
      <c r="G199" s="195"/>
      <c r="H199" s="195">
        <f t="shared" si="10"/>
        <v>6542</v>
      </c>
      <c r="I199" s="262">
        <v>2823.06</v>
      </c>
      <c r="J199" s="223">
        <f t="shared" si="13"/>
        <v>0.43152858453072457</v>
      </c>
    </row>
    <row r="200" spans="1:10" s="54" customFormat="1" ht="12.75">
      <c r="A200" s="138"/>
      <c r="B200" s="170"/>
      <c r="C200" s="170" t="s">
        <v>169</v>
      </c>
      <c r="D200" s="173" t="s">
        <v>215</v>
      </c>
      <c r="E200" s="211">
        <v>25758</v>
      </c>
      <c r="F200" s="195">
        <f>1713+3000</f>
        <v>4713</v>
      </c>
      <c r="G200" s="195"/>
      <c r="H200" s="195">
        <f t="shared" si="10"/>
        <v>30471</v>
      </c>
      <c r="I200" s="262">
        <v>30467.07</v>
      </c>
      <c r="J200" s="223">
        <f t="shared" si="13"/>
        <v>0.9998710249089298</v>
      </c>
    </row>
    <row r="201" spans="1:10" s="54" customFormat="1" ht="12.75">
      <c r="A201" s="138"/>
      <c r="B201" s="170"/>
      <c r="C201" s="170" t="s">
        <v>170</v>
      </c>
      <c r="D201" s="173" t="s">
        <v>216</v>
      </c>
      <c r="E201" s="211">
        <v>9694</v>
      </c>
      <c r="F201" s="195"/>
      <c r="G201" s="195"/>
      <c r="H201" s="195">
        <f t="shared" si="10"/>
        <v>9694</v>
      </c>
      <c r="I201" s="262">
        <v>509.96</v>
      </c>
      <c r="J201" s="223">
        <f t="shared" si="13"/>
        <v>0.052605735506498864</v>
      </c>
    </row>
    <row r="202" spans="1:10" s="54" customFormat="1" ht="12.75">
      <c r="A202" s="138"/>
      <c r="B202" s="170"/>
      <c r="C202" s="170" t="s">
        <v>194</v>
      </c>
      <c r="D202" s="173" t="s">
        <v>217</v>
      </c>
      <c r="E202" s="211">
        <v>944</v>
      </c>
      <c r="F202" s="195"/>
      <c r="G202" s="195"/>
      <c r="H202" s="195">
        <f t="shared" si="10"/>
        <v>944</v>
      </c>
      <c r="I202" s="262">
        <v>255</v>
      </c>
      <c r="J202" s="223">
        <f t="shared" si="13"/>
        <v>0.2701271186440678</v>
      </c>
    </row>
    <row r="203" spans="1:10" s="54" customFormat="1" ht="12.75">
      <c r="A203" s="138"/>
      <c r="B203" s="170"/>
      <c r="C203" s="170" t="s">
        <v>157</v>
      </c>
      <c r="D203" s="173" t="s">
        <v>186</v>
      </c>
      <c r="E203" s="211">
        <v>19710</v>
      </c>
      <c r="F203" s="195"/>
      <c r="G203" s="195"/>
      <c r="H203" s="195">
        <f t="shared" si="10"/>
        <v>19710</v>
      </c>
      <c r="I203" s="262">
        <v>7859.36</v>
      </c>
      <c r="J203" s="223">
        <f t="shared" si="13"/>
        <v>0.39874987316083205</v>
      </c>
    </row>
    <row r="204" spans="1:10" s="54" customFormat="1" ht="12.75">
      <c r="A204" s="138"/>
      <c r="B204" s="170"/>
      <c r="C204" s="170" t="s">
        <v>171</v>
      </c>
      <c r="D204" s="173" t="s">
        <v>218</v>
      </c>
      <c r="E204" s="211">
        <v>1663</v>
      </c>
      <c r="F204" s="195"/>
      <c r="G204" s="195"/>
      <c r="H204" s="195">
        <f t="shared" si="10"/>
        <v>1663</v>
      </c>
      <c r="I204" s="262">
        <v>797.88</v>
      </c>
      <c r="J204" s="223">
        <f t="shared" si="13"/>
        <v>0.47978352375225497</v>
      </c>
    </row>
    <row r="205" spans="1:10" s="54" customFormat="1" ht="12.75">
      <c r="A205" s="138"/>
      <c r="B205" s="170"/>
      <c r="C205" s="170" t="s">
        <v>172</v>
      </c>
      <c r="D205" s="173" t="s">
        <v>219</v>
      </c>
      <c r="E205" s="211">
        <v>1057</v>
      </c>
      <c r="F205" s="195"/>
      <c r="G205" s="195"/>
      <c r="H205" s="195">
        <f t="shared" si="10"/>
        <v>1057</v>
      </c>
      <c r="I205" s="262">
        <v>458.92</v>
      </c>
      <c r="J205" s="223">
        <f t="shared" si="13"/>
        <v>0.4341721854304636</v>
      </c>
    </row>
    <row r="206" spans="1:10" s="54" customFormat="1" ht="12.75">
      <c r="A206" s="138"/>
      <c r="B206" s="170"/>
      <c r="C206" s="170" t="s">
        <v>173</v>
      </c>
      <c r="D206" s="173" t="s">
        <v>220</v>
      </c>
      <c r="E206" s="211">
        <v>1885</v>
      </c>
      <c r="F206" s="195"/>
      <c r="G206" s="195"/>
      <c r="H206" s="195">
        <f t="shared" si="10"/>
        <v>1885</v>
      </c>
      <c r="I206" s="262">
        <v>690.47</v>
      </c>
      <c r="J206" s="223">
        <f t="shared" si="13"/>
        <v>0.36629708222811674</v>
      </c>
    </row>
    <row r="207" spans="1:10" s="54" customFormat="1" ht="12.75">
      <c r="A207" s="138"/>
      <c r="B207" s="170"/>
      <c r="C207" s="170" t="s">
        <v>174</v>
      </c>
      <c r="D207" s="173" t="s">
        <v>221</v>
      </c>
      <c r="E207" s="211">
        <v>2886</v>
      </c>
      <c r="F207" s="195"/>
      <c r="G207" s="195"/>
      <c r="H207" s="195">
        <f t="shared" si="10"/>
        <v>2886</v>
      </c>
      <c r="I207" s="262">
        <v>1760.42</v>
      </c>
      <c r="J207" s="223">
        <f t="shared" si="13"/>
        <v>0.60998613998614</v>
      </c>
    </row>
    <row r="208" spans="1:10" s="54" customFormat="1" ht="12.75">
      <c r="A208" s="138"/>
      <c r="B208" s="170"/>
      <c r="C208" s="170" t="s">
        <v>175</v>
      </c>
      <c r="D208" s="173" t="s">
        <v>222</v>
      </c>
      <c r="E208" s="211">
        <v>3220</v>
      </c>
      <c r="F208" s="195"/>
      <c r="G208" s="195"/>
      <c r="H208" s="195">
        <f t="shared" si="10"/>
        <v>3220</v>
      </c>
      <c r="I208" s="262">
        <v>1611</v>
      </c>
      <c r="J208" s="223">
        <f t="shared" si="13"/>
        <v>0.5003105590062111</v>
      </c>
    </row>
    <row r="209" spans="1:10" s="54" customFormat="1" ht="12.75">
      <c r="A209" s="138"/>
      <c r="B209" s="170"/>
      <c r="C209" s="170" t="s">
        <v>176</v>
      </c>
      <c r="D209" s="173" t="s">
        <v>211</v>
      </c>
      <c r="E209" s="211">
        <v>56807</v>
      </c>
      <c r="F209" s="195"/>
      <c r="G209" s="195"/>
      <c r="H209" s="195">
        <f t="shared" si="10"/>
        <v>56807</v>
      </c>
      <c r="I209" s="262">
        <v>42605.25</v>
      </c>
      <c r="J209" s="223">
        <f t="shared" si="13"/>
        <v>0.75</v>
      </c>
    </row>
    <row r="210" spans="1:10" s="54" customFormat="1" ht="12.75">
      <c r="A210" s="138"/>
      <c r="B210" s="170"/>
      <c r="C210" s="170" t="s">
        <v>181</v>
      </c>
      <c r="D210" s="173" t="s">
        <v>223</v>
      </c>
      <c r="E210" s="211">
        <v>3123</v>
      </c>
      <c r="F210" s="195"/>
      <c r="G210" s="195">
        <v>1000</v>
      </c>
      <c r="H210" s="195">
        <f t="shared" si="10"/>
        <v>2123</v>
      </c>
      <c r="I210" s="262">
        <v>318.42</v>
      </c>
      <c r="J210" s="223">
        <f t="shared" si="13"/>
        <v>0.14998586905322658</v>
      </c>
    </row>
    <row r="211" spans="1:10" s="54" customFormat="1" ht="12.75">
      <c r="A211" s="138"/>
      <c r="B211" s="170"/>
      <c r="C211" s="170" t="s">
        <v>182</v>
      </c>
      <c r="D211" s="173" t="s">
        <v>224</v>
      </c>
      <c r="E211" s="211">
        <v>5059</v>
      </c>
      <c r="F211" s="195"/>
      <c r="G211" s="195">
        <v>2000</v>
      </c>
      <c r="H211" s="195">
        <f t="shared" si="10"/>
        <v>3059</v>
      </c>
      <c r="I211" s="262">
        <v>244</v>
      </c>
      <c r="J211" s="223">
        <f t="shared" si="13"/>
        <v>0.07976462896371363</v>
      </c>
    </row>
    <row r="212" spans="1:10" s="137" customFormat="1" ht="12.75">
      <c r="A212" s="134"/>
      <c r="B212" s="135" t="s">
        <v>117</v>
      </c>
      <c r="C212" s="135"/>
      <c r="D212" s="136" t="str">
        <f>IF(A212&gt;0,(LOOKUP(A212,'[1]Dz.'!A:A,'[1]Dz.'!B:B)),(IF(B212&gt;0,(LOOKUP(B212,'[1]Roz.'!A:A,'[1]Roz.'!B:B)),(IF(C212&gt;0,(LOOKUP(C212,'[1]par.'!A:A,'[1]par.'!B:B)),0)))))</f>
        <v>Szkoły zawodowe</v>
      </c>
      <c r="E212" s="191">
        <f>SUM(E214:E249)</f>
        <v>11106995</v>
      </c>
      <c r="F212" s="191">
        <f>SUM(F214:F249)</f>
        <v>607697</v>
      </c>
      <c r="G212" s="191">
        <f>SUM(G214:G249)</f>
        <v>74527</v>
      </c>
      <c r="H212" s="192">
        <f aca="true" t="shared" si="14" ref="H212:H276">E212+F212-G212</f>
        <v>11640165</v>
      </c>
      <c r="I212" s="261">
        <f>SUM(I214:I249)</f>
        <v>5969134.07</v>
      </c>
      <c r="J212" s="222">
        <f t="shared" si="13"/>
        <v>0.5128049361843239</v>
      </c>
    </row>
    <row r="213" spans="1:10" s="54" customFormat="1" ht="51" hidden="1">
      <c r="A213" s="138"/>
      <c r="B213" s="138"/>
      <c r="C213" s="138" t="s">
        <v>225</v>
      </c>
      <c r="D213" s="139" t="str">
        <f>IF(A213&gt;0,(LOOKUP(A213,'[1]Dz.'!A:A,'[1]Dz.'!B:B)),(IF(B213&gt;0,(LOOKUP(B213,'[1]Roz.'!A:A,'[1]Roz.'!B:B)),(IF(C213&gt;0,(LOOKUP(C213,'[1]par.'!A:A,'[1]par.'!B:B)),0)))))</f>
        <v>Dotacje celowe przekazane dla powiatu na zadania bieżace realzowane na podstawie porozumień (umów) między jednostkami samorzadu terytorialego</v>
      </c>
      <c r="E213" s="194">
        <v>0</v>
      </c>
      <c r="F213" s="195"/>
      <c r="G213" s="195"/>
      <c r="H213" s="195">
        <f t="shared" si="14"/>
        <v>0</v>
      </c>
      <c r="I213" s="262"/>
      <c r="J213" s="223" t="e">
        <f t="shared" si="13"/>
        <v>#DIV/0!</v>
      </c>
    </row>
    <row r="214" spans="1:10" s="54" customFormat="1" ht="25.5">
      <c r="A214" s="138"/>
      <c r="B214" s="138"/>
      <c r="C214" s="138" t="s">
        <v>226</v>
      </c>
      <c r="D214" s="139" t="str">
        <f>IF(A214&gt;0,(LOOKUP(A214,'[1]Dz.'!A:A,'[1]Dz.'!B:B)),(IF(B214&gt;0,(LOOKUP(B214,'[1]Roz.'!A:A,'[1]Roz.'!B:B)),(IF(C214&gt;0,(LOOKUP(C214,'[1]par.'!A:A,'[1]par.'!B:B)),0)))))</f>
        <v>Dotacja podmiotowa z budżetu dla niepublicznej jednostki systemu oświaty</v>
      </c>
      <c r="E214" s="194">
        <v>342000</v>
      </c>
      <c r="F214" s="195"/>
      <c r="G214" s="195"/>
      <c r="H214" s="195">
        <f t="shared" si="14"/>
        <v>342000</v>
      </c>
      <c r="I214" s="262">
        <v>231481.32</v>
      </c>
      <c r="J214" s="223">
        <f t="shared" si="13"/>
        <v>0.6768459649122808</v>
      </c>
    </row>
    <row r="215" spans="1:10" s="54" customFormat="1" ht="25.5">
      <c r="A215" s="138"/>
      <c r="B215" s="138"/>
      <c r="C215" s="138" t="s">
        <v>161</v>
      </c>
      <c r="D215" s="139" t="str">
        <f>IF(A215&gt;0,(LOOKUP(A215,'[1]Dz.'!A:A,'[1]Dz.'!B:B)),(IF(B215&gt;0,(LOOKUP(B215,'[1]Roz.'!A:A,'[1]Roz.'!B:B)),(IF(C215&gt;0,(LOOKUP(C215,'[1]par.'!A:A,'[1]par.'!B:B)),0)))))</f>
        <v>Nagrody i wydatki osobowe nie zaliczone do wynagrodzeń</v>
      </c>
      <c r="E215" s="194">
        <v>124060</v>
      </c>
      <c r="F215" s="195"/>
      <c r="G215" s="195">
        <v>2000</v>
      </c>
      <c r="H215" s="195">
        <f t="shared" si="14"/>
        <v>122060</v>
      </c>
      <c r="I215" s="262">
        <v>50197.66</v>
      </c>
      <c r="J215" s="223">
        <f t="shared" si="13"/>
        <v>0.41125397345567755</v>
      </c>
    </row>
    <row r="216" spans="1:10" s="54" customFormat="1" ht="25.5">
      <c r="A216" s="138"/>
      <c r="B216" s="138"/>
      <c r="C216" s="138" t="s">
        <v>228</v>
      </c>
      <c r="D216" s="139" t="str">
        <f>IF(A216&gt;0,(LOOKUP(A216,'[1]Dz.'!A:A,'[1]Dz.'!B:B)),(IF(B216&gt;0,(LOOKUP(B216,'[1]Roz.'!A:A,'[1]Roz.'!B:B)),(IF(C216&gt;0,(LOOKUP(C216,'[1]par.'!A:A,'[1]par.'!B:B)),0)))))</f>
        <v>Stypendia oraz inne formy pomocy dla uczniów</v>
      </c>
      <c r="E216" s="194">
        <v>0</v>
      </c>
      <c r="F216" s="195">
        <v>12000</v>
      </c>
      <c r="G216" s="195"/>
      <c r="H216" s="195">
        <f t="shared" si="14"/>
        <v>12000</v>
      </c>
      <c r="I216" s="262">
        <v>12000</v>
      </c>
      <c r="J216" s="223">
        <f t="shared" si="13"/>
        <v>1</v>
      </c>
    </row>
    <row r="217" spans="1:10" s="54" customFormat="1" ht="12.75">
      <c r="A217" s="138"/>
      <c r="B217" s="138"/>
      <c r="C217" s="138" t="s">
        <v>163</v>
      </c>
      <c r="D217" s="139" t="str">
        <f>IF(A217&gt;0,(LOOKUP(A217,'[1]Dz.'!A:A,'[1]Dz.'!B:B)),(IF(B217&gt;0,(LOOKUP(B217,'[1]Roz.'!A:A,'[1]Roz.'!B:B)),(IF(C217&gt;0,(LOOKUP(C217,'[1]par.'!A:A,'[1]par.'!B:B)),0)))))</f>
        <v>Wynagrodzenia osobowe pracowników</v>
      </c>
      <c r="E217" s="194">
        <v>7311577</v>
      </c>
      <c r="F217" s="195">
        <v>129021</v>
      </c>
      <c r="G217" s="195">
        <v>28600</v>
      </c>
      <c r="H217" s="195">
        <f t="shared" si="14"/>
        <v>7411998</v>
      </c>
      <c r="I217" s="262">
        <v>3449099.87</v>
      </c>
      <c r="J217" s="223">
        <f t="shared" si="13"/>
        <v>0.46534009723154274</v>
      </c>
    </row>
    <row r="218" spans="1:10" s="54" customFormat="1" ht="12.75">
      <c r="A218" s="138"/>
      <c r="B218" s="138"/>
      <c r="C218" s="138" t="s">
        <v>164</v>
      </c>
      <c r="D218" s="139" t="str">
        <f>IF(A218&gt;0,(LOOKUP(A218,'[1]Dz.'!A:A,'[1]Dz.'!B:B)),(IF(B218&gt;0,(LOOKUP(B218,'[1]Roz.'!A:A,'[1]Roz.'!B:B)),(IF(C218&gt;0,(LOOKUP(C218,'[1]par.'!A:A,'[1]par.'!B:B)),0)))))</f>
        <v>Dodatkowe wynagrodzenie roczne</v>
      </c>
      <c r="E218" s="194">
        <v>580094</v>
      </c>
      <c r="F218" s="195"/>
      <c r="G218" s="195">
        <f>5927+97</f>
        <v>6024</v>
      </c>
      <c r="H218" s="195">
        <f t="shared" si="14"/>
        <v>574070</v>
      </c>
      <c r="I218" s="262">
        <v>570659.16</v>
      </c>
      <c r="J218" s="223">
        <f t="shared" si="13"/>
        <v>0.9940584946086715</v>
      </c>
    </row>
    <row r="219" spans="1:10" s="54" customFormat="1" ht="12.75">
      <c r="A219" s="138"/>
      <c r="B219" s="138"/>
      <c r="C219" s="138" t="s">
        <v>165</v>
      </c>
      <c r="D219" s="139" t="str">
        <f>IF(A219&gt;0,(LOOKUP(A219,'[1]Dz.'!A:A,'[1]Dz.'!B:B)),(IF(B219&gt;0,(LOOKUP(B219,'[1]Roz.'!A:A,'[1]Roz.'!B:B)),(IF(C219&gt;0,(LOOKUP(C219,'[1]par.'!A:A,'[1]par.'!B:B)),0)))))</f>
        <v>Składki na ubezpieczenia społeczne</v>
      </c>
      <c r="E219" s="194">
        <v>1330916</v>
      </c>
      <c r="F219" s="195">
        <v>23722</v>
      </c>
      <c r="G219" s="195">
        <v>3876</v>
      </c>
      <c r="H219" s="195">
        <f t="shared" si="14"/>
        <v>1350762</v>
      </c>
      <c r="I219" s="262">
        <v>678815.16</v>
      </c>
      <c r="J219" s="223">
        <f t="shared" si="13"/>
        <v>0.5025423871858995</v>
      </c>
    </row>
    <row r="220" spans="1:10" s="54" customFormat="1" ht="12.75" hidden="1">
      <c r="A220" s="138"/>
      <c r="B220" s="138"/>
      <c r="C220" s="138" t="s">
        <v>229</v>
      </c>
      <c r="D220" s="139" t="str">
        <f>IF(A220&gt;0,(LOOKUP(A220,'[1]Dz.'!A:A,'[1]Dz.'!B:B)),(IF(B220&gt;0,(LOOKUP(B220,'[1]Roz.'!A:A,'[1]Roz.'!B:B)),(IF(C220&gt;0,(LOOKUP(C220,'[1]par.'!A:A,'[1]par.'!B:B)),0)))))</f>
        <v>Składki na ubezpieczenia społeczne</v>
      </c>
      <c r="E220" s="194">
        <v>0</v>
      </c>
      <c r="F220" s="195"/>
      <c r="G220" s="195"/>
      <c r="H220" s="195">
        <f t="shared" si="14"/>
        <v>0</v>
      </c>
      <c r="I220" s="262"/>
      <c r="J220" s="223" t="e">
        <f t="shared" si="13"/>
        <v>#DIV/0!</v>
      </c>
    </row>
    <row r="221" spans="1:10" s="54" customFormat="1" ht="12.75" hidden="1">
      <c r="A221" s="138"/>
      <c r="B221" s="138"/>
      <c r="C221" s="138" t="s">
        <v>230</v>
      </c>
      <c r="D221" s="139" t="str">
        <f>IF(A221&gt;0,(LOOKUP(A221,'[1]Dz.'!A:A,'[1]Dz.'!B:B)),(IF(B221&gt;0,(LOOKUP(B221,'[1]Roz.'!A:A,'[1]Roz.'!B:B)),(IF(C221&gt;0,(LOOKUP(C221,'[1]par.'!A:A,'[1]par.'!B:B)),0)))))</f>
        <v>Składki na ubezpieczenia społeczne</v>
      </c>
      <c r="E221" s="194">
        <v>0</v>
      </c>
      <c r="F221" s="195"/>
      <c r="G221" s="195"/>
      <c r="H221" s="195">
        <f t="shared" si="14"/>
        <v>0</v>
      </c>
      <c r="I221" s="262"/>
      <c r="J221" s="223" t="e">
        <f t="shared" si="13"/>
        <v>#DIV/0!</v>
      </c>
    </row>
    <row r="222" spans="1:10" s="54" customFormat="1" ht="12.75">
      <c r="A222" s="138"/>
      <c r="B222" s="138"/>
      <c r="C222" s="138" t="s">
        <v>166</v>
      </c>
      <c r="D222" s="139" t="str">
        <f>IF(A222&gt;0,(LOOKUP(A222,'[1]Dz.'!A:A,'[1]Dz.'!B:B)),(IF(B222&gt;0,(LOOKUP(B222,'[1]Roz.'!A:A,'[1]Roz.'!B:B)),(IF(C222&gt;0,(LOOKUP(C222,'[1]par.'!A:A,'[1]par.'!B:B)),0)))))</f>
        <v>Składki na Fundusz Pracy</v>
      </c>
      <c r="E222" s="194">
        <v>186845</v>
      </c>
      <c r="F222" s="195">
        <v>2986</v>
      </c>
      <c r="G222" s="195">
        <v>392</v>
      </c>
      <c r="H222" s="195">
        <f t="shared" si="14"/>
        <v>189439</v>
      </c>
      <c r="I222" s="262">
        <v>90425.21</v>
      </c>
      <c r="J222" s="223">
        <f t="shared" si="13"/>
        <v>0.47733154207950845</v>
      </c>
    </row>
    <row r="223" spans="1:10" s="54" customFormat="1" ht="12.75" hidden="1">
      <c r="A223" s="138"/>
      <c r="B223" s="138"/>
      <c r="C223" s="138" t="s">
        <v>231</v>
      </c>
      <c r="D223" s="139" t="str">
        <f>IF(A223&gt;0,(LOOKUP(A223,'[1]Dz.'!A:A,'[1]Dz.'!B:B)),(IF(B223&gt;0,(LOOKUP(B223,'[1]Roz.'!A:A,'[1]Roz.'!B:B)),(IF(C223&gt;0,(LOOKUP(C223,'[1]par.'!A:A,'[1]par.'!B:B)),0)))))</f>
        <v>Składki na Fundusz Pracy</v>
      </c>
      <c r="E223" s="194">
        <v>0</v>
      </c>
      <c r="F223" s="195"/>
      <c r="G223" s="195"/>
      <c r="H223" s="195">
        <f t="shared" si="14"/>
        <v>0</v>
      </c>
      <c r="I223" s="262"/>
      <c r="J223" s="223" t="e">
        <f t="shared" si="13"/>
        <v>#DIV/0!</v>
      </c>
    </row>
    <row r="224" spans="1:10" s="54" customFormat="1" ht="12.75" hidden="1">
      <c r="A224" s="138"/>
      <c r="B224" s="138"/>
      <c r="C224" s="138" t="s">
        <v>232</v>
      </c>
      <c r="D224" s="139" t="str">
        <f>IF(A224&gt;0,(LOOKUP(A224,'[1]Dz.'!A:A,'[1]Dz.'!B:B)),(IF(B224&gt;0,(LOOKUP(B224,'[1]Roz.'!A:A,'[1]Roz.'!B:B)),(IF(C224&gt;0,(LOOKUP(C224,'[1]par.'!A:A,'[1]par.'!B:B)),0)))))</f>
        <v>Składki na Fundusz Pracy</v>
      </c>
      <c r="E224" s="194">
        <v>0</v>
      </c>
      <c r="F224" s="195"/>
      <c r="G224" s="195"/>
      <c r="H224" s="195">
        <f t="shared" si="14"/>
        <v>0</v>
      </c>
      <c r="I224" s="262"/>
      <c r="J224" s="223" t="e">
        <f t="shared" si="13"/>
        <v>#DIV/0!</v>
      </c>
    </row>
    <row r="225" spans="1:10" s="54" customFormat="1" ht="12.75" hidden="1">
      <c r="A225" s="138"/>
      <c r="B225" s="138"/>
      <c r="C225" s="138" t="s">
        <v>167</v>
      </c>
      <c r="D225" s="139" t="str">
        <f>IF(A225&gt;0,(LOOKUP(A225,'[1]Dz.'!A:A,'[1]Dz.'!B:B)),(IF(B225&gt;0,(LOOKUP(B225,'[1]Roz.'!A:A,'[1]Roz.'!B:B)),(IF(C225&gt;0,(LOOKUP(C225,'[1]par.'!A:A,'[1]par.'!B:B)),0)))))</f>
        <v>Wpłaty na PFRON</v>
      </c>
      <c r="E225" s="194">
        <v>0</v>
      </c>
      <c r="F225" s="195"/>
      <c r="G225" s="195"/>
      <c r="H225" s="195">
        <f t="shared" si="14"/>
        <v>0</v>
      </c>
      <c r="I225" s="262"/>
      <c r="J225" s="223" t="e">
        <f t="shared" si="13"/>
        <v>#DIV/0!</v>
      </c>
    </row>
    <row r="226" spans="1:10" s="54" customFormat="1" ht="12.75">
      <c r="A226" s="138"/>
      <c r="B226" s="138"/>
      <c r="C226" s="138" t="s">
        <v>168</v>
      </c>
      <c r="D226" s="139" t="str">
        <f>IF(A226&gt;0,(LOOKUP(A226,'[1]Dz.'!A:A,'[1]Dz.'!B:B)),(IF(B226&gt;0,(LOOKUP(B226,'[1]Roz.'!A:A,'[1]Roz.'!B:B)),(IF(C226&gt;0,(LOOKUP(C226,'[1]par.'!A:A,'[1]par.'!B:B)),0)))))</f>
        <v>Wynagrodzenia bezosobowe</v>
      </c>
      <c r="E226" s="194">
        <v>18254</v>
      </c>
      <c r="F226" s="195">
        <v>12582</v>
      </c>
      <c r="G226" s="195">
        <v>500</v>
      </c>
      <c r="H226" s="195">
        <f t="shared" si="14"/>
        <v>30336</v>
      </c>
      <c r="I226" s="262">
        <v>13790.91</v>
      </c>
      <c r="J226" s="223">
        <f t="shared" si="13"/>
        <v>0.45460541930379744</v>
      </c>
    </row>
    <row r="227" spans="1:10" s="54" customFormat="1" ht="12.75" hidden="1">
      <c r="A227" s="138"/>
      <c r="B227" s="138"/>
      <c r="C227" s="138" t="s">
        <v>233</v>
      </c>
      <c r="D227" s="139" t="str">
        <f>IF(A227&gt;0,(LOOKUP(A227,'[1]Dz.'!A:A,'[1]Dz.'!B:B)),(IF(B227&gt;0,(LOOKUP(B227,'[1]Roz.'!A:A,'[1]Roz.'!B:B)),(IF(C227&gt;0,(LOOKUP(C227,'[1]par.'!A:A,'[1]par.'!B:B)),0)))))</f>
        <v>Wynagrodzenia bezosobowe</v>
      </c>
      <c r="E227" s="194">
        <v>0</v>
      </c>
      <c r="F227" s="195"/>
      <c r="G227" s="195"/>
      <c r="H227" s="195">
        <f t="shared" si="14"/>
        <v>0</v>
      </c>
      <c r="I227" s="262"/>
      <c r="J227" s="223" t="e">
        <f t="shared" si="13"/>
        <v>#DIV/0!</v>
      </c>
    </row>
    <row r="228" spans="1:10" s="54" customFormat="1" ht="12.75" hidden="1">
      <c r="A228" s="138"/>
      <c r="B228" s="138"/>
      <c r="C228" s="138" t="s">
        <v>234</v>
      </c>
      <c r="D228" s="139" t="str">
        <f>IF(A228&gt;0,(LOOKUP(A228,'[1]Dz.'!A:A,'[1]Dz.'!B:B)),(IF(B228&gt;0,(LOOKUP(B228,'[1]Roz.'!A:A,'[1]Roz.'!B:B)),(IF(C228&gt;0,(LOOKUP(C228,'[1]par.'!A:A,'[1]par.'!B:B)),0)))))</f>
        <v>Wynagrodzenia bezosobowe</v>
      </c>
      <c r="E228" s="194">
        <v>0</v>
      </c>
      <c r="F228" s="195"/>
      <c r="G228" s="195"/>
      <c r="H228" s="195">
        <f t="shared" si="14"/>
        <v>0</v>
      </c>
      <c r="I228" s="262"/>
      <c r="J228" s="223" t="e">
        <f t="shared" si="13"/>
        <v>#DIV/0!</v>
      </c>
    </row>
    <row r="229" spans="1:10" s="54" customFormat="1" ht="12.75">
      <c r="A229" s="138"/>
      <c r="B229" s="138"/>
      <c r="C229" s="138" t="s">
        <v>156</v>
      </c>
      <c r="D229" s="139" t="str">
        <f>IF(A229&gt;0,(LOOKUP(A229,'[1]Dz.'!A:A,'[1]Dz.'!B:B)),(IF(B229&gt;0,(LOOKUP(B229,'[1]Roz.'!A:A,'[1]Roz.'!B:B)),(IF(C229&gt;0,(LOOKUP(C229,'[1]par.'!A:A,'[1]par.'!B:B)),0)))))</f>
        <v>Zakup materiałów i wyposażenia</v>
      </c>
      <c r="E229" s="194">
        <v>96817</v>
      </c>
      <c r="F229" s="195">
        <v>6186</v>
      </c>
      <c r="G229" s="195">
        <v>2000</v>
      </c>
      <c r="H229" s="195">
        <f t="shared" si="14"/>
        <v>101003</v>
      </c>
      <c r="I229" s="262">
        <v>59836.19</v>
      </c>
      <c r="J229" s="223">
        <f t="shared" si="13"/>
        <v>0.5924199281209469</v>
      </c>
    </row>
    <row r="230" spans="1:10" s="54" customFormat="1" ht="12.75" hidden="1">
      <c r="A230" s="138"/>
      <c r="B230" s="138"/>
      <c r="C230" s="138" t="s">
        <v>235</v>
      </c>
      <c r="D230" s="139" t="str">
        <f>IF(A230&gt;0,(LOOKUP(A230,'[1]Dz.'!A:A,'[1]Dz.'!B:B)),(IF(B230&gt;0,(LOOKUP(B230,'[1]Roz.'!A:A,'[1]Roz.'!B:B)),(IF(C230&gt;0,(LOOKUP(C230,'[1]par.'!A:A,'[1]par.'!B:B)),0)))))</f>
        <v>Zakup materiałów i wyposażenia</v>
      </c>
      <c r="E230" s="194">
        <v>0</v>
      </c>
      <c r="F230" s="195"/>
      <c r="G230" s="195"/>
      <c r="H230" s="195">
        <f t="shared" si="14"/>
        <v>0</v>
      </c>
      <c r="I230" s="262"/>
      <c r="J230" s="223" t="e">
        <f t="shared" si="13"/>
        <v>#DIV/0!</v>
      </c>
    </row>
    <row r="231" spans="1:10" s="54" customFormat="1" ht="12.75" hidden="1">
      <c r="A231" s="138"/>
      <c r="B231" s="138"/>
      <c r="C231" s="138" t="s">
        <v>236</v>
      </c>
      <c r="D231" s="139" t="str">
        <f>IF(A231&gt;0,(LOOKUP(A231,'[1]Dz.'!A:A,'[1]Dz.'!B:B)),(IF(B231&gt;0,(LOOKUP(B231,'[1]Roz.'!A:A,'[1]Roz.'!B:B)),(IF(C231&gt;0,(LOOKUP(C231,'[1]par.'!A:A,'[1]par.'!B:B)),0)))))</f>
        <v>Zakup materiałów i wyposażenia</v>
      </c>
      <c r="E231" s="194">
        <v>0</v>
      </c>
      <c r="F231" s="195"/>
      <c r="G231" s="195"/>
      <c r="H231" s="195">
        <f t="shared" si="14"/>
        <v>0</v>
      </c>
      <c r="I231" s="262"/>
      <c r="J231" s="223" t="e">
        <f t="shared" si="13"/>
        <v>#DIV/0!</v>
      </c>
    </row>
    <row r="232" spans="1:10" s="54" customFormat="1" ht="25.5">
      <c r="A232" s="138"/>
      <c r="B232" s="138"/>
      <c r="C232" s="138" t="s">
        <v>213</v>
      </c>
      <c r="D232" s="139" t="str">
        <f>IF(A232&gt;0,(LOOKUP(A232,'[1]Dz.'!A:A,'[1]Dz.'!B:B)),(IF(B232&gt;0,(LOOKUP(B232,'[1]Roz.'!A:A,'[1]Roz.'!B:B)),(IF(C232&gt;0,(LOOKUP(C232,'[1]par.'!A:A,'[1]par.'!B:B)),0)))))</f>
        <v>Zakup pomocy naukowych, dydaktycznych i książek</v>
      </c>
      <c r="E232" s="194">
        <v>16000</v>
      </c>
      <c r="F232" s="195"/>
      <c r="G232" s="195">
        <v>500</v>
      </c>
      <c r="H232" s="195">
        <f t="shared" si="14"/>
        <v>15500</v>
      </c>
      <c r="I232" s="262">
        <v>7608.31</v>
      </c>
      <c r="J232" s="223">
        <f t="shared" si="13"/>
        <v>0.4908587096774194</v>
      </c>
    </row>
    <row r="233" spans="1:10" s="54" customFormat="1" ht="12.75">
      <c r="A233" s="138"/>
      <c r="B233" s="138"/>
      <c r="C233" s="138" t="s">
        <v>169</v>
      </c>
      <c r="D233" s="139" t="str">
        <f>IF(A233&gt;0,(LOOKUP(A233,'[1]Dz.'!A:A,'[1]Dz.'!B:B)),(IF(B233&gt;0,(LOOKUP(B233,'[1]Roz.'!A:A,'[1]Roz.'!B:B)),(IF(C233&gt;0,(LOOKUP(C233,'[1]par.'!A:A,'[1]par.'!B:B)),0)))))</f>
        <v>Zakup energii</v>
      </c>
      <c r="E233" s="194">
        <v>437893</v>
      </c>
      <c r="F233" s="195">
        <f>3500+8702+30000</f>
        <v>42202</v>
      </c>
      <c r="G233" s="195"/>
      <c r="H233" s="195">
        <f t="shared" si="14"/>
        <v>480095</v>
      </c>
      <c r="I233" s="262">
        <v>339555.83</v>
      </c>
      <c r="J233" s="223">
        <f t="shared" si="13"/>
        <v>0.7072679990418563</v>
      </c>
    </row>
    <row r="234" spans="1:10" s="54" customFormat="1" ht="12.75">
      <c r="A234" s="138"/>
      <c r="B234" s="138"/>
      <c r="C234" s="138" t="s">
        <v>170</v>
      </c>
      <c r="D234" s="139" t="str">
        <f>IF(A234&gt;0,(LOOKUP(A234,'[1]Dz.'!A:A,'[1]Dz.'!B:B)),(IF(B234&gt;0,(LOOKUP(B234,'[1]Roz.'!A:A,'[1]Roz.'!B:B)),(IF(C234&gt;0,(LOOKUP(C234,'[1]par.'!A:A,'[1]par.'!B:B)),0)))))</f>
        <v>Zakup usług remontowych</v>
      </c>
      <c r="E234" s="194">
        <v>18300</v>
      </c>
      <c r="F234" s="195">
        <f>1000+80518+2000</f>
        <v>83518</v>
      </c>
      <c r="G234" s="195">
        <f>1500+500</f>
        <v>2000</v>
      </c>
      <c r="H234" s="195">
        <f t="shared" si="14"/>
        <v>99818</v>
      </c>
      <c r="I234" s="262">
        <v>4714.44</v>
      </c>
      <c r="J234" s="223">
        <f t="shared" si="13"/>
        <v>0.04723035925384199</v>
      </c>
    </row>
    <row r="235" spans="1:10" s="54" customFormat="1" ht="12.75">
      <c r="A235" s="138"/>
      <c r="B235" s="138"/>
      <c r="C235" s="138" t="s">
        <v>194</v>
      </c>
      <c r="D235" s="139" t="str">
        <f>IF(A235&gt;0,(LOOKUP(A235,'[1]Dz.'!A:A,'[1]Dz.'!B:B)),(IF(B235&gt;0,(LOOKUP(B235,'[1]Roz.'!A:A,'[1]Roz.'!B:B)),(IF(C235&gt;0,(LOOKUP(C235,'[1]par.'!A:A,'[1]par.'!B:B)),0)))))</f>
        <v>Zakup usług zdrowotnych</v>
      </c>
      <c r="E235" s="194">
        <v>32431</v>
      </c>
      <c r="F235" s="195">
        <v>500</v>
      </c>
      <c r="G235" s="195">
        <v>23081</v>
      </c>
      <c r="H235" s="195">
        <f t="shared" si="14"/>
        <v>9850</v>
      </c>
      <c r="I235" s="262">
        <v>6336</v>
      </c>
      <c r="J235" s="223">
        <f t="shared" si="13"/>
        <v>0.643248730964467</v>
      </c>
    </row>
    <row r="236" spans="1:10" s="54" customFormat="1" ht="12.75">
      <c r="A236" s="138"/>
      <c r="B236" s="138"/>
      <c r="C236" s="138" t="s">
        <v>157</v>
      </c>
      <c r="D236" s="139" t="str">
        <f>IF(A236&gt;0,(LOOKUP(A236,'[1]Dz.'!A:A,'[1]Dz.'!B:B)),(IF(B236&gt;0,(LOOKUP(B236,'[1]Roz.'!A:A,'[1]Roz.'!B:B)),(IF(C236&gt;0,(LOOKUP(C236,'[1]par.'!A:A,'[1]par.'!B:B)),0)))))</f>
        <v>Zakup usług pozostałych</v>
      </c>
      <c r="E236" s="194">
        <v>59893</v>
      </c>
      <c r="F236" s="195">
        <f>23081+8100</f>
        <v>31181</v>
      </c>
      <c r="G236" s="195">
        <f>2000+1000</f>
        <v>3000</v>
      </c>
      <c r="H236" s="195">
        <f t="shared" si="14"/>
        <v>88074</v>
      </c>
      <c r="I236" s="262">
        <v>54363.97</v>
      </c>
      <c r="J236" s="223">
        <f t="shared" si="13"/>
        <v>0.6172533324250062</v>
      </c>
    </row>
    <row r="237" spans="1:10" s="54" customFormat="1" ht="12.75" hidden="1">
      <c r="A237" s="138"/>
      <c r="B237" s="138"/>
      <c r="C237" s="138" t="s">
        <v>237</v>
      </c>
      <c r="D237" s="139" t="str">
        <f>IF(A237&gt;0,(LOOKUP(A237,'[1]Dz.'!A:A,'[1]Dz.'!B:B)),(IF(B237&gt;0,(LOOKUP(B237,'[1]Roz.'!A:A,'[1]Roz.'!B:B)),(IF(C237&gt;0,(LOOKUP(C237,'[1]par.'!A:A,'[1]par.'!B:B)),0)))))</f>
        <v>Zakup usług pozostałych</v>
      </c>
      <c r="E237" s="194">
        <v>0</v>
      </c>
      <c r="F237" s="195"/>
      <c r="G237" s="195"/>
      <c r="H237" s="195">
        <f t="shared" si="14"/>
        <v>0</v>
      </c>
      <c r="I237" s="262"/>
      <c r="J237" s="223" t="e">
        <f t="shared" si="13"/>
        <v>#DIV/0!</v>
      </c>
    </row>
    <row r="238" spans="1:10" s="54" customFormat="1" ht="12.75" hidden="1">
      <c r="A238" s="138"/>
      <c r="B238" s="138"/>
      <c r="C238" s="138" t="s">
        <v>238</v>
      </c>
      <c r="D238" s="139" t="str">
        <f>IF(A238&gt;0,(LOOKUP(A238,'[1]Dz.'!A:A,'[1]Dz.'!B:B)),(IF(B238&gt;0,(LOOKUP(B238,'[1]Roz.'!A:A,'[1]Roz.'!B:B)),(IF(C238&gt;0,(LOOKUP(C238,'[1]par.'!A:A,'[1]par.'!B:B)),0)))))</f>
        <v>Zakup usług pozostałych</v>
      </c>
      <c r="E238" s="194">
        <v>0</v>
      </c>
      <c r="F238" s="195"/>
      <c r="G238" s="195"/>
      <c r="H238" s="195">
        <f t="shared" si="14"/>
        <v>0</v>
      </c>
      <c r="I238" s="262"/>
      <c r="J238" s="223" t="e">
        <f t="shared" si="13"/>
        <v>#DIV/0!</v>
      </c>
    </row>
    <row r="239" spans="1:10" s="54" customFormat="1" ht="12.75">
      <c r="A239" s="138"/>
      <c r="B239" s="138"/>
      <c r="C239" s="158" t="s">
        <v>171</v>
      </c>
      <c r="D239" s="139" t="str">
        <f>IF(A239&gt;0,(LOOKUP(A239,'[1]Dz.'!A:A,'[1]Dz.'!B:B)),(IF(B239&gt;0,(LOOKUP(B239,'[1]Roz.'!A:A,'[1]Roz.'!B:B)),(IF(C239&gt;0,(LOOKUP(C239,'[1]par.'!A:A,'[1]par.'!B:B)),0)))))</f>
        <v>Zakup dostępu do sieci internet</v>
      </c>
      <c r="E239" s="194">
        <v>13180</v>
      </c>
      <c r="F239" s="195"/>
      <c r="G239" s="195">
        <v>540</v>
      </c>
      <c r="H239" s="195">
        <f t="shared" si="14"/>
        <v>12640</v>
      </c>
      <c r="I239" s="262">
        <v>6327.38</v>
      </c>
      <c r="J239" s="223">
        <f t="shared" si="13"/>
        <v>0.5005838607594937</v>
      </c>
    </row>
    <row r="240" spans="1:10" s="54" customFormat="1" ht="27.75" customHeight="1">
      <c r="A240" s="138"/>
      <c r="B240" s="138"/>
      <c r="C240" s="150" t="s">
        <v>172</v>
      </c>
      <c r="D240" s="139" t="str">
        <f>IF(A240&gt;0,(LOOKUP(A240,'[1]Dz.'!A:A,'[1]Dz.'!B:B)),(IF(B240&gt;0,(LOOKUP(B240,'[1]Roz.'!A:A,'[1]Roz.'!B:B)),(IF(C240&gt;0,(LOOKUP(C240,'[1]par.'!A:A,'[1]par.'!B:B)),0)))))</f>
        <v>Opłaty z tytułu zakupu usług telekomunikacyjnych telefonii komórkowej</v>
      </c>
      <c r="E240" s="194">
        <v>4100</v>
      </c>
      <c r="F240" s="195">
        <f>2040+100</f>
        <v>2140</v>
      </c>
      <c r="G240" s="195"/>
      <c r="H240" s="195">
        <f t="shared" si="14"/>
        <v>6240</v>
      </c>
      <c r="I240" s="262">
        <v>3491.79</v>
      </c>
      <c r="J240" s="223">
        <f t="shared" si="13"/>
        <v>0.5595817307692308</v>
      </c>
    </row>
    <row r="241" spans="1:10" s="54" customFormat="1" ht="30.75" customHeight="1">
      <c r="A241" s="138"/>
      <c r="B241" s="138"/>
      <c r="C241" s="150" t="s">
        <v>173</v>
      </c>
      <c r="D241" s="139" t="str">
        <f>IF(A241&gt;0,(LOOKUP(A241,'[1]Dz.'!A:A,'[1]Dz.'!B:B)),(IF(B241&gt;0,(LOOKUP(B241,'[1]Roz.'!A:A,'[1]Roz.'!B:B)),(IF(C241&gt;0,(LOOKUP(C241,'[1]par.'!A:A,'[1]par.'!B:B)),0)))))</f>
        <v>Opłaty z tytułu zakupu usług telekomunikacyjnych telefonii stacjonarnej</v>
      </c>
      <c r="E241" s="194">
        <v>31090</v>
      </c>
      <c r="F241" s="195"/>
      <c r="G241" s="195">
        <v>2000</v>
      </c>
      <c r="H241" s="195">
        <f t="shared" si="14"/>
        <v>29090</v>
      </c>
      <c r="I241" s="262">
        <v>16716.17</v>
      </c>
      <c r="J241" s="223">
        <f t="shared" si="13"/>
        <v>0.5746363011344104</v>
      </c>
    </row>
    <row r="242" spans="1:10" s="54" customFormat="1" ht="12.75">
      <c r="A242" s="138"/>
      <c r="B242" s="138"/>
      <c r="C242" s="158" t="s">
        <v>174</v>
      </c>
      <c r="D242" s="139" t="str">
        <f>IF(A242&gt;0,(LOOKUP(A242,'[1]Dz.'!A:A,'[1]Dz.'!B:B)),(IF(B242&gt;0,(LOOKUP(B242,'[1]Roz.'!A:A,'[1]Roz.'!B:B)),(IF(C242&gt;0,(LOOKUP(C242,'[1]par.'!A:A,'[1]par.'!B:B)),0)))))</f>
        <v>Podróże służbowe krajowe</v>
      </c>
      <c r="E242" s="194">
        <v>11500</v>
      </c>
      <c r="F242" s="195">
        <v>350</v>
      </c>
      <c r="G242" s="195"/>
      <c r="H242" s="195">
        <f t="shared" si="14"/>
        <v>11850</v>
      </c>
      <c r="I242" s="262">
        <v>9210.68</v>
      </c>
      <c r="J242" s="223">
        <f t="shared" si="13"/>
        <v>0.7772725738396624</v>
      </c>
    </row>
    <row r="243" spans="1:10" s="54" customFormat="1" ht="12.75">
      <c r="A243" s="138"/>
      <c r="B243" s="138"/>
      <c r="C243" s="158" t="s">
        <v>175</v>
      </c>
      <c r="D243" s="139" t="str">
        <f>IF(A243&gt;0,(LOOKUP(A243,'[1]Dz.'!A:A,'[1]Dz.'!B:B)),(IF(B243&gt;0,(LOOKUP(B243,'[1]Roz.'!A:A,'[1]Roz.'!B:B)),(IF(C243&gt;0,(LOOKUP(C243,'[1]par.'!A:A,'[1]par.'!B:B)),0)))))</f>
        <v>Różne opłaty i składki</v>
      </c>
      <c r="E243" s="194">
        <v>28166</v>
      </c>
      <c r="F243" s="195">
        <v>312</v>
      </c>
      <c r="G243" s="195"/>
      <c r="H243" s="195">
        <f t="shared" si="14"/>
        <v>28478</v>
      </c>
      <c r="I243" s="262">
        <v>16896.86</v>
      </c>
      <c r="J243" s="223">
        <f t="shared" si="13"/>
        <v>0.5933302900484585</v>
      </c>
    </row>
    <row r="244" spans="1:10" s="54" customFormat="1" ht="25.5">
      <c r="A244" s="138"/>
      <c r="B244" s="138"/>
      <c r="C244" s="158" t="s">
        <v>176</v>
      </c>
      <c r="D244" s="139" t="str">
        <f>IF(A244&gt;0,(LOOKUP(A244,'[1]Dz.'!A:A,'[1]Dz.'!B:B)),(IF(B244&gt;0,(LOOKUP(B244,'[1]Roz.'!A:A,'[1]Roz.'!B:B)),(IF(C244&gt;0,(LOOKUP(C244,'[1]par.'!A:A,'[1]par.'!B:B)),0)))))</f>
        <v>Odpisy na zakladowy fundusz świadczeń socjalnych</v>
      </c>
      <c r="E244" s="194">
        <v>434760</v>
      </c>
      <c r="F244" s="195"/>
      <c r="G244" s="195"/>
      <c r="H244" s="195">
        <f t="shared" si="14"/>
        <v>434760</v>
      </c>
      <c r="I244" s="262">
        <v>326075</v>
      </c>
      <c r="J244" s="223">
        <f t="shared" si="13"/>
        <v>0.7500115005980311</v>
      </c>
    </row>
    <row r="245" spans="1:10" s="54" customFormat="1" ht="12.75">
      <c r="A245" s="138"/>
      <c r="B245" s="138"/>
      <c r="C245" s="158" t="s">
        <v>177</v>
      </c>
      <c r="D245" s="139" t="str">
        <f>IF(A245&gt;0,(LOOKUP(A245,'[1]Dz.'!A:A,'[1]Dz.'!B:B)),(IF(B245&gt;0,(LOOKUP(B245,'[1]Roz.'!A:A,'[1]Roz.'!B:B)),(IF(C245&gt;0,(LOOKUP(C245,'[1]par.'!A:A,'[1]par.'!B:B)),0)))))</f>
        <v>Podatek od nieruchomości</v>
      </c>
      <c r="E245" s="194">
        <v>6556</v>
      </c>
      <c r="F245" s="195">
        <v>56</v>
      </c>
      <c r="G245" s="195">
        <v>14</v>
      </c>
      <c r="H245" s="195">
        <f t="shared" si="14"/>
        <v>6598</v>
      </c>
      <c r="I245" s="262">
        <v>3318.52</v>
      </c>
      <c r="J245" s="223">
        <f t="shared" si="13"/>
        <v>0.5029584722643226</v>
      </c>
    </row>
    <row r="246" spans="1:10" s="54" customFormat="1" ht="25.5">
      <c r="A246" s="138"/>
      <c r="B246" s="138"/>
      <c r="C246" s="168">
        <v>4700</v>
      </c>
      <c r="D246" s="139" t="s">
        <v>283</v>
      </c>
      <c r="E246" s="194"/>
      <c r="F246" s="195">
        <v>3000</v>
      </c>
      <c r="G246" s="195"/>
      <c r="H246" s="195">
        <f t="shared" si="14"/>
        <v>3000</v>
      </c>
      <c r="I246" s="262">
        <v>2119.4</v>
      </c>
      <c r="J246" s="223">
        <f t="shared" si="13"/>
        <v>0.7064666666666667</v>
      </c>
    </row>
    <row r="247" spans="1:10" s="54" customFormat="1" ht="38.25">
      <c r="A247" s="138"/>
      <c r="B247" s="138"/>
      <c r="C247" s="150" t="s">
        <v>181</v>
      </c>
      <c r="D247" s="139" t="str">
        <f>IF(A247&gt;0,(LOOKUP(A247,'[1]Dz.'!A:A,'[1]Dz.'!B:B)),(IF(B247&gt;0,(LOOKUP(B247,'[1]Roz.'!A:A,'[1]Roz.'!B:B)),(IF(C247&gt;0,(LOOKUP(C247,'[1]par.'!A:A,'[1]par.'!B:B)),0)))))</f>
        <v>Zakup materiałów papierniczych do sprzętu drukarskego i urządzeń kserograficznych</v>
      </c>
      <c r="E247" s="194">
        <v>6000</v>
      </c>
      <c r="F247" s="195">
        <f>700+2000</f>
        <v>2700</v>
      </c>
      <c r="G247" s="195"/>
      <c r="H247" s="195">
        <f t="shared" si="14"/>
        <v>8700</v>
      </c>
      <c r="I247" s="262">
        <v>2363.46</v>
      </c>
      <c r="J247" s="223">
        <f t="shared" si="13"/>
        <v>0.27166206896551726</v>
      </c>
    </row>
    <row r="248" spans="1:10" s="54" customFormat="1" ht="25.5">
      <c r="A248" s="138"/>
      <c r="B248" s="138"/>
      <c r="C248" s="150" t="s">
        <v>182</v>
      </c>
      <c r="D248" s="139" t="str">
        <f>IF(A248&gt;0,(LOOKUP(A248,'[1]Dz.'!A:A,'[1]Dz.'!B:B)),(IF(B248&gt;0,(LOOKUP(B248,'[1]Roz.'!A:A,'[1]Roz.'!B:B)),(IF(C248&gt;0,(LOOKUP(C248,'[1]par.'!A:A,'[1]par.'!B:B)),0)))))</f>
        <v>Zakup akcesoriów komputerowych, w tym programów i licencji</v>
      </c>
      <c r="E248" s="194">
        <v>16563</v>
      </c>
      <c r="F248" s="195">
        <f>800+4441</f>
        <v>5241</v>
      </c>
      <c r="G248" s="195"/>
      <c r="H248" s="195">
        <f>E248+F248-G248</f>
        <v>21804</v>
      </c>
      <c r="I248" s="262">
        <v>13730.78</v>
      </c>
      <c r="J248" s="223">
        <f aca="true" t="shared" si="15" ref="J248:J311">I248/H248</f>
        <v>0.629736745551275</v>
      </c>
    </row>
    <row r="249" spans="1:10" s="54" customFormat="1" ht="25.5">
      <c r="A249" s="138"/>
      <c r="B249" s="138"/>
      <c r="C249" s="138" t="s">
        <v>183</v>
      </c>
      <c r="D249" s="139" t="str">
        <f>IF(A249&gt;0,(LOOKUP(A249,'[1]Dz.'!A:A,'[1]Dz.'!B:B)),(IF(B249&gt;0,(LOOKUP(B249,'[1]Roz.'!A:A,'[1]Roz.'!B:B)),(IF(C249&gt;0,(LOOKUP(C249,'[1]par.'!A:A,'[1]par.'!B:B)),0)))))</f>
        <v>Wydatki inwestycyjne jednostek budżetowych</v>
      </c>
      <c r="E249" s="194"/>
      <c r="F249" s="194">
        <v>250000</v>
      </c>
      <c r="G249" s="195"/>
      <c r="H249" s="195">
        <f t="shared" si="14"/>
        <v>250000</v>
      </c>
      <c r="I249" s="262"/>
      <c r="J249" s="223">
        <f t="shared" si="15"/>
        <v>0</v>
      </c>
    </row>
    <row r="250" spans="1:10" s="54" customFormat="1" ht="25.5" hidden="1">
      <c r="A250" s="138"/>
      <c r="B250" s="138"/>
      <c r="C250" s="158" t="s">
        <v>183</v>
      </c>
      <c r="D250" s="139" t="str">
        <f>IF(A250&gt;0,(LOOKUP(A250,'[1]Dz.'!A:A,'[1]Dz.'!B:B)),(IF(B250&gt;0,(LOOKUP(B250,'[1]Roz.'!A:A,'[1]Roz.'!B:B)),(IF(C250&gt;0,(LOOKUP(C250,'[1]par.'!A:A,'[1]par.'!B:B)),0)))))</f>
        <v>Wydatki inwestycyjne jednostek budżetowych</v>
      </c>
      <c r="E250" s="194">
        <v>0</v>
      </c>
      <c r="F250" s="195"/>
      <c r="G250" s="195"/>
      <c r="H250" s="195">
        <f t="shared" si="14"/>
        <v>0</v>
      </c>
      <c r="I250" s="262"/>
      <c r="J250" s="223" t="e">
        <f t="shared" si="15"/>
        <v>#DIV/0!</v>
      </c>
    </row>
    <row r="251" spans="1:10" s="54" customFormat="1" ht="25.5" hidden="1">
      <c r="A251" s="138"/>
      <c r="B251" s="138"/>
      <c r="C251" s="158" t="s">
        <v>185</v>
      </c>
      <c r="D251" s="139" t="str">
        <f>IF(A251&gt;0,(LOOKUP(A251,'[1]Dz.'!A:A,'[1]Dz.'!B:B)),(IF(B251&gt;0,(LOOKUP(B251,'[1]Roz.'!A:A,'[1]Roz.'!B:B)),(IF(C251&gt;0,(LOOKUP(C251,'[1]par.'!A:A,'[1]par.'!B:B)),0)))))</f>
        <v>Wydatki na zakupy inwestycyjne jednostek budżetowych</v>
      </c>
      <c r="E251" s="194">
        <v>0</v>
      </c>
      <c r="F251" s="195"/>
      <c r="G251" s="195"/>
      <c r="H251" s="195">
        <f t="shared" si="14"/>
        <v>0</v>
      </c>
      <c r="I251" s="262"/>
      <c r="J251" s="223" t="e">
        <f t="shared" si="15"/>
        <v>#DIV/0!</v>
      </c>
    </row>
    <row r="252" spans="1:10" s="137" customFormat="1" ht="12.75">
      <c r="A252" s="134"/>
      <c r="B252" s="135" t="s">
        <v>118</v>
      </c>
      <c r="C252" s="157"/>
      <c r="D252" s="136" t="s">
        <v>239</v>
      </c>
      <c r="E252" s="191">
        <f>SUM(E253:E258)</f>
        <v>197950</v>
      </c>
      <c r="F252" s="191">
        <f>SUM(F253:F258)</f>
        <v>0</v>
      </c>
      <c r="G252" s="191">
        <f>SUM(G253:G258)</f>
        <v>0</v>
      </c>
      <c r="H252" s="192">
        <f t="shared" si="14"/>
        <v>197950</v>
      </c>
      <c r="I252" s="261">
        <f>SUM(I253:I258)</f>
        <v>108721.95000000001</v>
      </c>
      <c r="J252" s="222">
        <f t="shared" si="15"/>
        <v>0.5492394544076787</v>
      </c>
    </row>
    <row r="253" spans="1:10" s="54" customFormat="1" ht="25.5">
      <c r="A253" s="138"/>
      <c r="B253" s="138"/>
      <c r="C253" s="138" t="s">
        <v>161</v>
      </c>
      <c r="D253" s="139" t="s">
        <v>206</v>
      </c>
      <c r="E253" s="194">
        <v>454</v>
      </c>
      <c r="F253" s="195"/>
      <c r="G253" s="195"/>
      <c r="H253" s="195">
        <f t="shared" si="14"/>
        <v>454</v>
      </c>
      <c r="I253" s="262"/>
      <c r="J253" s="223">
        <f t="shared" si="15"/>
        <v>0</v>
      </c>
    </row>
    <row r="254" spans="1:10" s="54" customFormat="1" ht="12.75">
      <c r="A254" s="138"/>
      <c r="B254" s="138"/>
      <c r="C254" s="138" t="s">
        <v>163</v>
      </c>
      <c r="D254" s="139" t="s">
        <v>207</v>
      </c>
      <c r="E254" s="194">
        <v>151187</v>
      </c>
      <c r="F254" s="195"/>
      <c r="G254" s="195"/>
      <c r="H254" s="195">
        <f t="shared" si="14"/>
        <v>151187</v>
      </c>
      <c r="I254" s="262">
        <v>77962.74</v>
      </c>
      <c r="J254" s="223">
        <f t="shared" si="15"/>
        <v>0.5156709240873885</v>
      </c>
    </row>
    <row r="255" spans="1:10" s="54" customFormat="1" ht="12.75">
      <c r="A255" s="138"/>
      <c r="B255" s="138"/>
      <c r="C255" s="138" t="s">
        <v>164</v>
      </c>
      <c r="D255" s="139" t="s">
        <v>208</v>
      </c>
      <c r="E255" s="194">
        <v>9209</v>
      </c>
      <c r="F255" s="195"/>
      <c r="G255" s="195"/>
      <c r="H255" s="195">
        <f t="shared" si="14"/>
        <v>9209</v>
      </c>
      <c r="I255" s="262">
        <v>9208.31</v>
      </c>
      <c r="J255" s="223">
        <f t="shared" si="15"/>
        <v>0.9999250732978607</v>
      </c>
    </row>
    <row r="256" spans="1:10" s="54" customFormat="1" ht="12.75">
      <c r="A256" s="138"/>
      <c r="B256" s="138"/>
      <c r="C256" s="138" t="s">
        <v>165</v>
      </c>
      <c r="D256" s="139" t="s">
        <v>209</v>
      </c>
      <c r="E256" s="194">
        <v>27732</v>
      </c>
      <c r="F256" s="195"/>
      <c r="G256" s="195"/>
      <c r="H256" s="195">
        <f t="shared" si="14"/>
        <v>27732</v>
      </c>
      <c r="I256" s="262">
        <v>14927.08</v>
      </c>
      <c r="J256" s="223">
        <f t="shared" si="15"/>
        <v>0.5382619356699841</v>
      </c>
    </row>
    <row r="257" spans="1:10" s="54" customFormat="1" ht="12.75">
      <c r="A257" s="138"/>
      <c r="B257" s="138"/>
      <c r="C257" s="138" t="s">
        <v>166</v>
      </c>
      <c r="D257" s="139" t="s">
        <v>210</v>
      </c>
      <c r="E257" s="194">
        <v>3995</v>
      </c>
      <c r="F257" s="195"/>
      <c r="G257" s="195"/>
      <c r="H257" s="195">
        <f t="shared" si="14"/>
        <v>3995</v>
      </c>
      <c r="I257" s="262">
        <v>2123.82</v>
      </c>
      <c r="J257" s="223">
        <f t="shared" si="15"/>
        <v>0.531619524405507</v>
      </c>
    </row>
    <row r="258" spans="1:10" s="54" customFormat="1" ht="25.5">
      <c r="A258" s="138"/>
      <c r="B258" s="138"/>
      <c r="C258" s="138" t="s">
        <v>176</v>
      </c>
      <c r="D258" s="139" t="s">
        <v>211</v>
      </c>
      <c r="E258" s="194">
        <v>5373</v>
      </c>
      <c r="F258" s="195"/>
      <c r="G258" s="195"/>
      <c r="H258" s="195">
        <f t="shared" si="14"/>
        <v>5373</v>
      </c>
      <c r="I258" s="262">
        <v>4500</v>
      </c>
      <c r="J258" s="223">
        <f t="shared" si="15"/>
        <v>0.8375209380234506</v>
      </c>
    </row>
    <row r="259" spans="1:10" s="137" customFormat="1" ht="25.5">
      <c r="A259" s="134"/>
      <c r="B259" s="135" t="s">
        <v>119</v>
      </c>
      <c r="C259" s="135"/>
      <c r="D259" s="136" t="str">
        <f>IF(A259&gt;0,(LOOKUP(A259,'[1]Dz.'!A:A,'[1]Dz.'!B:B)),(IF(B259&gt;0,(LOOKUP(B259,'[1]Roz.'!A:A,'[1]Roz.'!B:B)),(IF(C259&gt;0,(LOOKUP(C259,'[1]par.'!A:A,'[1]par.'!B:B)),0)))))</f>
        <v>Dokształcanie i doskonalenie nauczycieli</v>
      </c>
      <c r="E259" s="191">
        <f>E260</f>
        <v>78200</v>
      </c>
      <c r="F259" s="191">
        <f>F260</f>
        <v>46995</v>
      </c>
      <c r="G259" s="191">
        <f>G260</f>
        <v>50830</v>
      </c>
      <c r="H259" s="192">
        <f t="shared" si="14"/>
        <v>74365</v>
      </c>
      <c r="I259" s="261">
        <f>I260</f>
        <v>20015.13</v>
      </c>
      <c r="J259" s="222">
        <f t="shared" si="15"/>
        <v>0.26914717945269956</v>
      </c>
    </row>
    <row r="260" spans="1:10" s="54" customFormat="1" ht="12.75">
      <c r="A260" s="138"/>
      <c r="B260" s="138"/>
      <c r="C260" s="138" t="s">
        <v>157</v>
      </c>
      <c r="D260" s="139" t="str">
        <f>IF(A260&gt;0,(LOOKUP(A260,'[1]Dz.'!A:A,'[1]Dz.'!B:B)),(IF(B260&gt;0,(LOOKUP(B260,'[1]Roz.'!A:A,'[1]Roz.'!B:B)),(IF(C260&gt;0,(LOOKUP(C260,'[1]par.'!A:A,'[1]par.'!B:B)),0)))))</f>
        <v>Zakup usług pozostałych</v>
      </c>
      <c r="E260" s="194">
        <v>78200</v>
      </c>
      <c r="F260" s="195">
        <v>46995</v>
      </c>
      <c r="G260" s="195">
        <f>46995+3835</f>
        <v>50830</v>
      </c>
      <c r="H260" s="195">
        <f t="shared" si="14"/>
        <v>74365</v>
      </c>
      <c r="I260" s="262">
        <v>20015.13</v>
      </c>
      <c r="J260" s="223">
        <f t="shared" si="15"/>
        <v>0.26914717945269956</v>
      </c>
    </row>
    <row r="261" spans="1:10" s="137" customFormat="1" ht="12.75">
      <c r="A261" s="134"/>
      <c r="B261" s="135" t="s">
        <v>120</v>
      </c>
      <c r="C261" s="135"/>
      <c r="D261" s="136" t="str">
        <f>IF(A261&gt;0,(LOOKUP(A261,'[1]Dz.'!A:A,'[1]Dz.'!B:B)),(IF(B261&gt;0,(LOOKUP(B261,'[1]Roz.'!A:A,'[1]Roz.'!B:B)),(IF(C261&gt;0,(LOOKUP(C261,'[1]par.'!A:A,'[1]par.'!B:B)),0)))))</f>
        <v>Pozostała działalność</v>
      </c>
      <c r="E261" s="191">
        <f>SUM(E263:E264)</f>
        <v>103100</v>
      </c>
      <c r="F261" s="191">
        <f>SUM(F263:F264)</f>
        <v>0</v>
      </c>
      <c r="G261" s="191">
        <f>SUM(G263:G264)</f>
        <v>0</v>
      </c>
      <c r="H261" s="192">
        <f t="shared" si="14"/>
        <v>103100</v>
      </c>
      <c r="I261" s="261">
        <f>SUM(I263:I264)</f>
        <v>100000</v>
      </c>
      <c r="J261" s="222">
        <f t="shared" si="15"/>
        <v>0.9699321047526673</v>
      </c>
    </row>
    <row r="262" spans="1:10" s="54" customFormat="1" ht="12.75" hidden="1">
      <c r="A262" s="138"/>
      <c r="B262" s="138"/>
      <c r="C262" s="138" t="s">
        <v>156</v>
      </c>
      <c r="D262" s="139" t="str">
        <f>IF(A262&gt;0,(LOOKUP(A262,'[1]Dz.'!A:A,'[1]Dz.'!B:B)),(IF(B262&gt;0,(LOOKUP(B262,'[1]Roz.'!A:A,'[1]Roz.'!B:B)),(IF(C262&gt;0,(LOOKUP(C262,'[1]par.'!A:A,'[1]par.'!B:B)),0)))))</f>
        <v>Zakup materiałów i wyposażenia</v>
      </c>
      <c r="E262" s="194">
        <v>0</v>
      </c>
      <c r="F262" s="195"/>
      <c r="G262" s="195"/>
      <c r="H262" s="195">
        <f t="shared" si="14"/>
        <v>0</v>
      </c>
      <c r="I262" s="262"/>
      <c r="J262" s="223" t="e">
        <f t="shared" si="15"/>
        <v>#DIV/0!</v>
      </c>
    </row>
    <row r="263" spans="1:10" s="54" customFormat="1" ht="12.75">
      <c r="A263" s="138"/>
      <c r="B263" s="138"/>
      <c r="C263" s="138" t="s">
        <v>157</v>
      </c>
      <c r="D263" s="139" t="str">
        <f>IF(A263&gt;0,(LOOKUP(A263,'[1]Dz.'!A:A,'[1]Dz.'!B:B)),(IF(B263&gt;0,(LOOKUP(B263,'[1]Roz.'!A:A,'[1]Roz.'!B:B)),(IF(C263&gt;0,(LOOKUP(C263,'[1]par.'!A:A,'[1]par.'!B:B)),0)))))</f>
        <v>Zakup usług pozostałych</v>
      </c>
      <c r="E263" s="194">
        <v>3100</v>
      </c>
      <c r="F263" s="195"/>
      <c r="G263" s="195"/>
      <c r="H263" s="195">
        <f t="shared" si="14"/>
        <v>3100</v>
      </c>
      <c r="I263" s="262"/>
      <c r="J263" s="223">
        <f t="shared" si="15"/>
        <v>0</v>
      </c>
    </row>
    <row r="264" spans="1:10" s="54" customFormat="1" ht="25.5">
      <c r="A264" s="147"/>
      <c r="B264" s="147"/>
      <c r="C264" s="147" t="s">
        <v>176</v>
      </c>
      <c r="D264" s="148" t="str">
        <f>IF(A264&gt;0,(LOOKUP(A264,'[1]Dz.'!A:A,'[1]Dz.'!B:B)),(IF(B264&gt;0,(LOOKUP(B264,'[1]Roz.'!A:A,'[1]Roz.'!B:B)),(IF(C264&gt;0,(LOOKUP(C264,'[1]par.'!A:A,'[1]par.'!B:B)),0)))))</f>
        <v>Odpisy na zakladowy fundusz świadczeń socjalnych</v>
      </c>
      <c r="E264" s="200">
        <v>100000</v>
      </c>
      <c r="F264" s="201"/>
      <c r="G264" s="201"/>
      <c r="H264" s="201">
        <f t="shared" si="14"/>
        <v>100000</v>
      </c>
      <c r="I264" s="266">
        <v>100000</v>
      </c>
      <c r="J264" s="227">
        <f t="shared" si="15"/>
        <v>1</v>
      </c>
    </row>
    <row r="265" spans="1:10" s="43" customFormat="1" ht="12.75">
      <c r="A265" s="44" t="s">
        <v>240</v>
      </c>
      <c r="B265" s="44"/>
      <c r="C265" s="44"/>
      <c r="D265" s="45" t="str">
        <f>IF(A265&gt;0,(LOOKUP(A265,'[1]Dz.'!A:A,'[1]Dz.'!B:B)),(IF(B265&gt;0,(LOOKUP(B265,'[1]Roz.'!A:A,'[1]Roz.'!B:B)),(IF(C265&gt;0,(LOOKUP(C265,'[1]par.'!A:A,'[1]par.'!B:B)),0)))))</f>
        <v>Szkolnictwo wyższe</v>
      </c>
      <c r="E265" s="207">
        <f>E266</f>
        <v>0</v>
      </c>
      <c r="F265" s="207">
        <f>F266</f>
        <v>75241</v>
      </c>
      <c r="G265" s="207">
        <f>G266</f>
        <v>0</v>
      </c>
      <c r="H265" s="208">
        <f t="shared" si="14"/>
        <v>75241</v>
      </c>
      <c r="I265" s="272">
        <f>I266</f>
        <v>39349.44</v>
      </c>
      <c r="J265" s="233">
        <f t="shared" si="15"/>
        <v>0.5229786951263274</v>
      </c>
    </row>
    <row r="266" spans="1:10" s="137" customFormat="1" ht="12.75">
      <c r="A266" s="134"/>
      <c r="B266" s="135" t="s">
        <v>241</v>
      </c>
      <c r="C266" s="135"/>
      <c r="D266" s="136" t="str">
        <f>IF(A266&gt;0,(LOOKUP(A266,'[1]Dz.'!A:A,'[1]Dz.'!B:B)),(IF(B266&gt;0,(LOOKUP(B266,'[1]Roz.'!A:A,'[1]Roz.'!B:B)),(IF(C266&gt;0,(LOOKUP(C266,'[1]par.'!A:A,'[1]par.'!B:B)),0)))))</f>
        <v>Pomoc materialna dla studentów</v>
      </c>
      <c r="E266" s="191">
        <f>SUM(E267:E268)</f>
        <v>0</v>
      </c>
      <c r="F266" s="191">
        <f>SUM(F267:F268)</f>
        <v>75241</v>
      </c>
      <c r="G266" s="191">
        <f>SUM(G267:G268)</f>
        <v>0</v>
      </c>
      <c r="H266" s="192">
        <f t="shared" si="14"/>
        <v>75241</v>
      </c>
      <c r="I266" s="261">
        <f>SUM(I267:I268)</f>
        <v>39349.44</v>
      </c>
      <c r="J266" s="222">
        <f t="shared" si="15"/>
        <v>0.5229786951263274</v>
      </c>
    </row>
    <row r="267" spans="1:10" s="54" customFormat="1" ht="25.5">
      <c r="A267" s="138"/>
      <c r="B267" s="138"/>
      <c r="C267" s="158" t="s">
        <v>254</v>
      </c>
      <c r="D267" s="174" t="str">
        <f>IF(A267&gt;0,(LOOKUP(A267,'[1]Dz.'!A:A,'[1]Dz.'!B:B)),(IF(B267&gt;0,(LOOKUP(B267,'[1]Roz.'!A:A,'[1]Roz.'!B:B)),(IF(C267&gt;0,(LOOKUP(C267,'[1]par.'!A:A,'[1]par.'!B:B)),0)))))</f>
        <v>Stypendia oraz inne formy pomocy dla uczniów</v>
      </c>
      <c r="E267" s="195"/>
      <c r="F267" s="195">
        <v>56431</v>
      </c>
      <c r="G267" s="194"/>
      <c r="H267" s="195">
        <f t="shared" si="14"/>
        <v>56431</v>
      </c>
      <c r="I267" s="273">
        <v>29512.08</v>
      </c>
      <c r="J267" s="234">
        <f t="shared" si="15"/>
        <v>0.522976378231823</v>
      </c>
    </row>
    <row r="268" spans="1:10" s="54" customFormat="1" ht="25.5">
      <c r="A268" s="138"/>
      <c r="B268" s="138"/>
      <c r="C268" s="158" t="s">
        <v>255</v>
      </c>
      <c r="D268" s="174" t="str">
        <f>IF(A268&gt;0,(LOOKUP(A268,'[1]Dz.'!A:A,'[1]Dz.'!B:B)),(IF(B268&gt;0,(LOOKUP(B268,'[1]Roz.'!A:A,'[1]Roz.'!B:B)),(IF(C268&gt;0,(LOOKUP(C268,'[1]par.'!A:A,'[1]par.'!B:B)),0)))))</f>
        <v>Stypendia oraz inne formy pomocy dla uczniów</v>
      </c>
      <c r="E268" s="195"/>
      <c r="F268" s="195">
        <v>18810</v>
      </c>
      <c r="G268" s="194"/>
      <c r="H268" s="195">
        <f t="shared" si="14"/>
        <v>18810</v>
      </c>
      <c r="I268" s="273">
        <v>9837.36</v>
      </c>
      <c r="J268" s="234">
        <f t="shared" si="15"/>
        <v>0.5229856459330143</v>
      </c>
    </row>
    <row r="269" spans="1:10" s="43" customFormat="1" ht="12.75">
      <c r="A269" s="41" t="s">
        <v>121</v>
      </c>
      <c r="B269" s="41"/>
      <c r="C269" s="41"/>
      <c r="D269" s="42" t="str">
        <f>IF(A269&gt;0,(LOOKUP(A269,'[1]Dz.'!A:A,'[1]Dz.'!B:B)),(IF(B269&gt;0,(LOOKUP(B269,'[1]Roz.'!A:A,'[1]Roz.'!B:B)),(IF(C269&gt;0,(LOOKUP(C269,'[1]par.'!A:A,'[1]par.'!B:B)),0)))))</f>
        <v>Ochrona zdrowia</v>
      </c>
      <c r="E269" s="189">
        <f>E270+E279+E288</f>
        <v>1195160</v>
      </c>
      <c r="F269" s="189">
        <f>F270+F279+F288</f>
        <v>3400</v>
      </c>
      <c r="G269" s="189">
        <f>G270+G279+G288</f>
        <v>0</v>
      </c>
      <c r="H269" s="190">
        <f t="shared" si="14"/>
        <v>1198560</v>
      </c>
      <c r="I269" s="260">
        <f>I270+I279+I288</f>
        <v>525714.9</v>
      </c>
      <c r="J269" s="221">
        <f t="shared" si="15"/>
        <v>0.438622096515819</v>
      </c>
    </row>
    <row r="270" spans="1:10" s="137" customFormat="1" ht="12.75">
      <c r="A270" s="134"/>
      <c r="B270" s="135" t="s">
        <v>122</v>
      </c>
      <c r="C270" s="135"/>
      <c r="D270" s="136" t="str">
        <f>IF(A270&gt;0,(LOOKUP(A270,'[1]Dz.'!A:A,'[1]Dz.'!B:B)),(IF(B270&gt;0,(LOOKUP(B270,'[1]Roz.'!A:A,'[1]Roz.'!B:B)),(IF(C270&gt;0,(LOOKUP(C270,'[1]par.'!A:A,'[1]par.'!B:B)),0)))))</f>
        <v>Szpitale ogólne</v>
      </c>
      <c r="E270" s="212">
        <f>E271</f>
        <v>100000</v>
      </c>
      <c r="F270" s="212">
        <f>F271</f>
        <v>3400</v>
      </c>
      <c r="G270" s="212">
        <f>G271</f>
        <v>0</v>
      </c>
      <c r="H270" s="192">
        <f t="shared" si="14"/>
        <v>103400</v>
      </c>
      <c r="I270" s="274">
        <f>I271</f>
        <v>103400</v>
      </c>
      <c r="J270" s="235">
        <f t="shared" si="15"/>
        <v>1</v>
      </c>
    </row>
    <row r="271" spans="1:10" s="54" customFormat="1" ht="63.75">
      <c r="A271" s="138"/>
      <c r="B271" s="138"/>
      <c r="C271" s="138" t="s">
        <v>242</v>
      </c>
      <c r="D271" s="139" t="str">
        <f>IF(A271&gt;0,(LOOKUP(A271,'[1]Dz.'!A:A,'[1]Dz.'!B:B)),(IF(B271&gt;0,(LOOKUP(B271,'[1]Roz.'!A:A,'[1]Roz.'!B:B)),(IF(C271&gt;0,(LOOKUP(C271,'[1]par.'!A:A,'[1]par.'!B:B)),0)))))</f>
        <v>dotacje celowe z budżetu na finansowanie lub dofinansowanie kosztów realizacji inwestycji i zakupów inwestycyjnych innych jednostek sektora finansów publicznych</v>
      </c>
      <c r="E271" s="213">
        <v>100000</v>
      </c>
      <c r="F271" s="195">
        <v>3400</v>
      </c>
      <c r="G271" s="195"/>
      <c r="H271" s="195">
        <f t="shared" si="14"/>
        <v>103400</v>
      </c>
      <c r="I271" s="262">
        <v>103400</v>
      </c>
      <c r="J271" s="223">
        <f t="shared" si="15"/>
        <v>1</v>
      </c>
    </row>
    <row r="272" spans="1:10" s="137" customFormat="1" ht="12.75" hidden="1">
      <c r="A272" s="134"/>
      <c r="B272" s="135" t="s">
        <v>124</v>
      </c>
      <c r="C272" s="135"/>
      <c r="D272" s="136" t="str">
        <f>IF(A272&gt;0,(LOOKUP(A272,'[1]Dz.'!A:A,'[1]Dz.'!B:B)),(IF(B272&gt;0,(LOOKUP(B272,'[1]Roz.'!A:A,'[1]Roz.'!B:B)),(IF(C272&gt;0,(LOOKUP(C272,'[1]par.'!A:A,'[1]par.'!B:B)),0)))))</f>
        <v>Ratownictwo medyczne</v>
      </c>
      <c r="E272" s="214">
        <v>0</v>
      </c>
      <c r="F272" s="192"/>
      <c r="G272" s="192"/>
      <c r="H272" s="192">
        <f t="shared" si="14"/>
        <v>0</v>
      </c>
      <c r="I272" s="265"/>
      <c r="J272" s="226" t="e">
        <f t="shared" si="15"/>
        <v>#DIV/0!</v>
      </c>
    </row>
    <row r="273" spans="1:10" s="54" customFormat="1" ht="12.75" hidden="1">
      <c r="A273" s="138"/>
      <c r="B273" s="138"/>
      <c r="C273" s="138" t="s">
        <v>156</v>
      </c>
      <c r="D273" s="139" t="str">
        <f>IF(A273&gt;0,(LOOKUP(A273,'[1]Dz.'!A:A,'[1]Dz.'!B:B)),(IF(B273&gt;0,(LOOKUP(B273,'[1]Roz.'!A:A,'[1]Roz.'!B:B)),(IF(C273&gt;0,(LOOKUP(C273,'[1]par.'!A:A,'[1]par.'!B:B)),0)))))</f>
        <v>Zakup materiałów i wyposażenia</v>
      </c>
      <c r="E273" s="213">
        <v>0</v>
      </c>
      <c r="F273" s="195"/>
      <c r="G273" s="195"/>
      <c r="H273" s="195">
        <f t="shared" si="14"/>
        <v>0</v>
      </c>
      <c r="I273" s="262"/>
      <c r="J273" s="223" t="e">
        <f t="shared" si="15"/>
        <v>#DIV/0!</v>
      </c>
    </row>
    <row r="274" spans="1:10" s="54" customFormat="1" ht="12.75" hidden="1">
      <c r="A274" s="138"/>
      <c r="B274" s="138"/>
      <c r="C274" s="138" t="s">
        <v>169</v>
      </c>
      <c r="D274" s="139" t="str">
        <f>IF(A274&gt;0,(LOOKUP(A274,'[1]Dz.'!A:A,'[1]Dz.'!B:B)),(IF(B274&gt;0,(LOOKUP(B274,'[1]Roz.'!A:A,'[1]Roz.'!B:B)),(IF(C274&gt;0,(LOOKUP(C274,'[1]par.'!A:A,'[1]par.'!B:B)),0)))))</f>
        <v>Zakup energii</v>
      </c>
      <c r="E274" s="213">
        <v>0</v>
      </c>
      <c r="F274" s="195"/>
      <c r="G274" s="195"/>
      <c r="H274" s="195">
        <f t="shared" si="14"/>
        <v>0</v>
      </c>
      <c r="I274" s="262"/>
      <c r="J274" s="223" t="e">
        <f t="shared" si="15"/>
        <v>#DIV/0!</v>
      </c>
    </row>
    <row r="275" spans="1:10" s="54" customFormat="1" ht="12.75" hidden="1">
      <c r="A275" s="138"/>
      <c r="B275" s="138"/>
      <c r="C275" s="138" t="s">
        <v>170</v>
      </c>
      <c r="D275" s="139" t="str">
        <f>IF(A275&gt;0,(LOOKUP(A275,'[1]Dz.'!A:A,'[1]Dz.'!B:B)),(IF(B275&gt;0,(LOOKUP(B275,'[1]Roz.'!A:A,'[1]Roz.'!B:B)),(IF(C275&gt;0,(LOOKUP(C275,'[1]par.'!A:A,'[1]par.'!B:B)),0)))))</f>
        <v>Zakup usług remontowych</v>
      </c>
      <c r="E275" s="213">
        <v>0</v>
      </c>
      <c r="F275" s="195"/>
      <c r="G275" s="195"/>
      <c r="H275" s="195">
        <f t="shared" si="14"/>
        <v>0</v>
      </c>
      <c r="I275" s="262"/>
      <c r="J275" s="223" t="e">
        <f t="shared" si="15"/>
        <v>#DIV/0!</v>
      </c>
    </row>
    <row r="276" spans="1:10" s="54" customFormat="1" ht="12.75" hidden="1">
      <c r="A276" s="138"/>
      <c r="B276" s="138"/>
      <c r="C276" s="138" t="s">
        <v>157</v>
      </c>
      <c r="D276" s="139" t="str">
        <f>IF(A276&gt;0,(LOOKUP(A276,'[1]Dz.'!A:A,'[1]Dz.'!B:B)),(IF(B276&gt;0,(LOOKUP(B276,'[1]Roz.'!A:A,'[1]Roz.'!B:B)),(IF(C276&gt;0,(LOOKUP(C276,'[1]par.'!A:A,'[1]par.'!B:B)),0)))))</f>
        <v>Zakup usług pozostałych</v>
      </c>
      <c r="E276" s="213">
        <v>0</v>
      </c>
      <c r="F276" s="195"/>
      <c r="G276" s="195"/>
      <c r="H276" s="195">
        <f t="shared" si="14"/>
        <v>0</v>
      </c>
      <c r="I276" s="262"/>
      <c r="J276" s="223" t="e">
        <f t="shared" si="15"/>
        <v>#DIV/0!</v>
      </c>
    </row>
    <row r="277" spans="1:10" s="54" customFormat="1" ht="12.75" hidden="1">
      <c r="A277" s="138"/>
      <c r="B277" s="138"/>
      <c r="C277" s="138" t="s">
        <v>171</v>
      </c>
      <c r="D277" s="139" t="str">
        <f>IF(A277&gt;0,(LOOKUP(A277,'[1]Dz.'!A:A,'[1]Dz.'!B:B)),(IF(B277&gt;0,(LOOKUP(B277,'[1]Roz.'!A:A,'[1]Roz.'!B:B)),(IF(C277&gt;0,(LOOKUP(C277,'[1]par.'!A:A,'[1]par.'!B:B)),0)))))</f>
        <v>Zakup dostępu do sieci internet</v>
      </c>
      <c r="E277" s="213">
        <v>0</v>
      </c>
      <c r="F277" s="195"/>
      <c r="G277" s="195"/>
      <c r="H277" s="195">
        <f aca="true" t="shared" si="16" ref="H277:H342">E277+F277-G277</f>
        <v>0</v>
      </c>
      <c r="I277" s="262"/>
      <c r="J277" s="223" t="e">
        <f t="shared" si="15"/>
        <v>#DIV/0!</v>
      </c>
    </row>
    <row r="278" spans="1:10" s="54" customFormat="1" ht="12.75" hidden="1">
      <c r="A278" s="138"/>
      <c r="B278" s="138"/>
      <c r="C278" s="138" t="s">
        <v>177</v>
      </c>
      <c r="D278" s="139" t="str">
        <f>IF(A278&gt;0,(LOOKUP(A278,'[1]Dz.'!A:A,'[1]Dz.'!B:B)),(IF(B278&gt;0,(LOOKUP(B278,'[1]Roz.'!A:A,'[1]Roz.'!B:B)),(IF(C278&gt;0,(LOOKUP(C278,'[1]par.'!A:A,'[1]par.'!B:B)),0)))))</f>
        <v>Podatek od nieruchomości</v>
      </c>
      <c r="E278" s="213">
        <v>0</v>
      </c>
      <c r="F278" s="195"/>
      <c r="G278" s="195"/>
      <c r="H278" s="195">
        <f t="shared" si="16"/>
        <v>0</v>
      </c>
      <c r="I278" s="262"/>
      <c r="J278" s="223" t="e">
        <f t="shared" si="15"/>
        <v>#DIV/0!</v>
      </c>
    </row>
    <row r="279" spans="1:10" s="137" customFormat="1" ht="12.75">
      <c r="A279" s="134"/>
      <c r="B279" s="135" t="s">
        <v>125</v>
      </c>
      <c r="C279" s="135"/>
      <c r="D279" s="136" t="str">
        <f>IF(A279&gt;0,(LOOKUP(A279,'[1]Dz.'!A:A,'[1]Dz.'!B:B)),(IF(B279&gt;0,(LOOKUP(B279,'[1]Roz.'!A:A,'[1]Roz.'!B:B)),(IF(C279&gt;0,(LOOKUP(C279,'[1]par.'!A:A,'[1]par.'!B:B)),0)))))</f>
        <v>Zwalczanie narkomanii</v>
      </c>
      <c r="E279" s="214">
        <f>E280</f>
        <v>400</v>
      </c>
      <c r="F279" s="214">
        <f>F280</f>
        <v>0</v>
      </c>
      <c r="G279" s="214">
        <f>G280</f>
        <v>0</v>
      </c>
      <c r="H279" s="192">
        <f t="shared" si="16"/>
        <v>400</v>
      </c>
      <c r="I279" s="275">
        <f>I280</f>
        <v>0</v>
      </c>
      <c r="J279" s="236">
        <f t="shared" si="15"/>
        <v>0</v>
      </c>
    </row>
    <row r="280" spans="1:10" s="54" customFormat="1" ht="12.75">
      <c r="A280" s="138"/>
      <c r="B280" s="138"/>
      <c r="C280" s="138" t="s">
        <v>157</v>
      </c>
      <c r="D280" s="139" t="str">
        <f>IF(A280&gt;0,(LOOKUP(A280,'[1]Dz.'!A:A,'[1]Dz.'!B:B)),(IF(B280&gt;0,(LOOKUP(B280,'[1]Roz.'!A:A,'[1]Roz.'!B:B)),(IF(C280&gt;0,(LOOKUP(C280,'[1]par.'!A:A,'[1]par.'!B:B)),0)))))</f>
        <v>Zakup usług pozostałych</v>
      </c>
      <c r="E280" s="213">
        <v>400</v>
      </c>
      <c r="F280" s="195"/>
      <c r="G280" s="195"/>
      <c r="H280" s="195">
        <f t="shared" si="16"/>
        <v>400</v>
      </c>
      <c r="I280" s="262"/>
      <c r="J280" s="223">
        <f t="shared" si="15"/>
        <v>0</v>
      </c>
    </row>
    <row r="281" spans="1:10" s="137" customFormat="1" ht="12.75" hidden="1">
      <c r="A281" s="134"/>
      <c r="B281" s="135" t="s">
        <v>243</v>
      </c>
      <c r="C281" s="135"/>
      <c r="D281" s="136" t="str">
        <f>IF(A281&gt;0,(LOOKUP(A281,'[1]Dz.'!A:A,'[1]Dz.'!B:B)),(IF(B281&gt;0,(LOOKUP(B281,'[1]Roz.'!A:A,'[1]Roz.'!B:B)),(IF(C281&gt;0,(LOOKUP(C281,'[1]par.'!A:A,'[1]par.'!B:B)),0)))))</f>
        <v>Przeciwdziałanie alkoholizmowi</v>
      </c>
      <c r="E281" s="214">
        <v>0</v>
      </c>
      <c r="F281" s="192"/>
      <c r="G281" s="192"/>
      <c r="H281" s="192">
        <f t="shared" si="16"/>
        <v>0</v>
      </c>
      <c r="I281" s="265"/>
      <c r="J281" s="226" t="e">
        <f t="shared" si="15"/>
        <v>#DIV/0!</v>
      </c>
    </row>
    <row r="282" spans="1:10" s="54" customFormat="1" ht="12.75" hidden="1">
      <c r="A282" s="138"/>
      <c r="B282" s="138"/>
      <c r="C282" s="138" t="s">
        <v>169</v>
      </c>
      <c r="D282" s="139" t="str">
        <f>IF(A282&gt;0,(LOOKUP(A282,'[1]Dz.'!A:A,'[1]Dz.'!B:B)),(IF(B282&gt;0,(LOOKUP(B282,'[1]Roz.'!A:A,'[1]Roz.'!B:B)),(IF(C282&gt;0,(LOOKUP(C282,'[1]par.'!A:A,'[1]par.'!B:B)),0)))))</f>
        <v>Zakup energii</v>
      </c>
      <c r="E282" s="213">
        <v>0</v>
      </c>
      <c r="F282" s="195"/>
      <c r="G282" s="195"/>
      <c r="H282" s="195">
        <f t="shared" si="16"/>
        <v>0</v>
      </c>
      <c r="I282" s="262"/>
      <c r="J282" s="223" t="e">
        <f t="shared" si="15"/>
        <v>#DIV/0!</v>
      </c>
    </row>
    <row r="283" spans="1:10" s="54" customFormat="1" ht="12.75" hidden="1">
      <c r="A283" s="138"/>
      <c r="B283" s="138"/>
      <c r="C283" s="138" t="s">
        <v>170</v>
      </c>
      <c r="D283" s="139" t="str">
        <f>IF(A283&gt;0,(LOOKUP(A283,'[1]Dz.'!A:A,'[1]Dz.'!B:B)),(IF(B283&gt;0,(LOOKUP(B283,'[1]Roz.'!A:A,'[1]Roz.'!B:B)),(IF(C283&gt;0,(LOOKUP(C283,'[1]par.'!A:A,'[1]par.'!B:B)),0)))))</f>
        <v>Zakup usług remontowych</v>
      </c>
      <c r="E283" s="213">
        <v>0</v>
      </c>
      <c r="F283" s="195"/>
      <c r="G283" s="195"/>
      <c r="H283" s="195">
        <f t="shared" si="16"/>
        <v>0</v>
      </c>
      <c r="I283" s="262"/>
      <c r="J283" s="223" t="e">
        <f t="shared" si="15"/>
        <v>#DIV/0!</v>
      </c>
    </row>
    <row r="284" spans="1:10" s="54" customFormat="1" ht="12.75" hidden="1">
      <c r="A284" s="138"/>
      <c r="B284" s="138"/>
      <c r="C284" s="138" t="s">
        <v>157</v>
      </c>
      <c r="D284" s="139" t="str">
        <f>IF(A284&gt;0,(LOOKUP(A284,'[1]Dz.'!A:A,'[1]Dz.'!B:B)),(IF(B284&gt;0,(LOOKUP(B284,'[1]Roz.'!A:A,'[1]Roz.'!B:B)),(IF(C284&gt;0,(LOOKUP(C284,'[1]par.'!A:A,'[1]par.'!B:B)),0)))))</f>
        <v>Zakup usług pozostałych</v>
      </c>
      <c r="E284" s="213">
        <v>0</v>
      </c>
      <c r="F284" s="195"/>
      <c r="G284" s="195"/>
      <c r="H284" s="195">
        <f t="shared" si="16"/>
        <v>0</v>
      </c>
      <c r="I284" s="262"/>
      <c r="J284" s="223" t="e">
        <f t="shared" si="15"/>
        <v>#DIV/0!</v>
      </c>
    </row>
    <row r="285" spans="1:10" s="54" customFormat="1" ht="12.75" hidden="1">
      <c r="A285" s="138"/>
      <c r="B285" s="138"/>
      <c r="C285" s="138" t="s">
        <v>171</v>
      </c>
      <c r="D285" s="139" t="str">
        <f>IF(A285&gt;0,(LOOKUP(A285,'[1]Dz.'!A:A,'[1]Dz.'!B:B)),(IF(B285&gt;0,(LOOKUP(B285,'[1]Roz.'!A:A,'[1]Roz.'!B:B)),(IF(C285&gt;0,(LOOKUP(C285,'[1]par.'!A:A,'[1]par.'!B:B)),0)))))</f>
        <v>Zakup dostępu do sieci internet</v>
      </c>
      <c r="E285" s="213">
        <v>0</v>
      </c>
      <c r="F285" s="195"/>
      <c r="G285" s="195"/>
      <c r="H285" s="195">
        <f t="shared" si="16"/>
        <v>0</v>
      </c>
      <c r="I285" s="262"/>
      <c r="J285" s="223" t="e">
        <f t="shared" si="15"/>
        <v>#DIV/0!</v>
      </c>
    </row>
    <row r="286" spans="1:10" s="54" customFormat="1" ht="12.75" hidden="1">
      <c r="A286" s="138"/>
      <c r="B286" s="138"/>
      <c r="C286" s="138" t="s">
        <v>177</v>
      </c>
      <c r="D286" s="139" t="str">
        <f>IF(A286&gt;0,(LOOKUP(A286,'[1]Dz.'!A:A,'[1]Dz.'!B:B)),(IF(B286&gt;0,(LOOKUP(B286,'[1]Roz.'!A:A,'[1]Roz.'!B:B)),(IF(C286&gt;0,(LOOKUP(C286,'[1]par.'!A:A,'[1]par.'!B:B)),0)))))</f>
        <v>Podatek od nieruchomości</v>
      </c>
      <c r="E286" s="213">
        <v>0</v>
      </c>
      <c r="F286" s="195"/>
      <c r="G286" s="195"/>
      <c r="H286" s="195">
        <f t="shared" si="16"/>
        <v>0</v>
      </c>
      <c r="I286" s="262"/>
      <c r="J286" s="223" t="e">
        <f t="shared" si="15"/>
        <v>#DIV/0!</v>
      </c>
    </row>
    <row r="287" spans="1:10" s="54" customFormat="1" ht="25.5" hidden="1">
      <c r="A287" s="138"/>
      <c r="B287" s="138"/>
      <c r="C287" s="138" t="s">
        <v>185</v>
      </c>
      <c r="D287" s="139" t="str">
        <f>IF(A287&gt;0,(LOOKUP(A287,'[1]Dz.'!A:A,'[1]Dz.'!B:B)),(IF(B287&gt;0,(LOOKUP(B287,'[1]Roz.'!A:A,'[1]Roz.'!B:B)),(IF(C287&gt;0,(LOOKUP(C287,'[1]par.'!A:A,'[1]par.'!B:B)),0)))))</f>
        <v>Wydatki na zakupy inwestycyjne jednostek budżetowych</v>
      </c>
      <c r="E287" s="213">
        <v>0</v>
      </c>
      <c r="F287" s="195"/>
      <c r="G287" s="195"/>
      <c r="H287" s="195">
        <f t="shared" si="16"/>
        <v>0</v>
      </c>
      <c r="I287" s="262"/>
      <c r="J287" s="223" t="e">
        <f t="shared" si="15"/>
        <v>#DIV/0!</v>
      </c>
    </row>
    <row r="288" spans="1:10" s="137" customFormat="1" ht="51">
      <c r="A288" s="134"/>
      <c r="B288" s="135" t="s">
        <v>123</v>
      </c>
      <c r="C288" s="135"/>
      <c r="D288" s="136" t="str">
        <f>IF(A288&gt;0,(LOOKUP(A288,'[1]Dz.'!A:A,'[1]Dz.'!B:B)),(IF(B288&gt;0,(LOOKUP(B288,'[1]Roz.'!A:A,'[1]Roz.'!B:B)),(IF(C288&gt;0,(LOOKUP(C288,'[1]par.'!A:A,'[1]par.'!B:B)),0)))))</f>
        <v>Składki na ubezpieczenia zdrowotne oraz świadczenia dla osób nie objętych obowiązkiem ubezpieczenia zdrowotnego</v>
      </c>
      <c r="E288" s="191">
        <f>E289</f>
        <v>1094760</v>
      </c>
      <c r="F288" s="191">
        <f>F289</f>
        <v>0</v>
      </c>
      <c r="G288" s="191">
        <f>G289</f>
        <v>0</v>
      </c>
      <c r="H288" s="192">
        <f t="shared" si="16"/>
        <v>1094760</v>
      </c>
      <c r="I288" s="261">
        <f>I289</f>
        <v>422314.9</v>
      </c>
      <c r="J288" s="222">
        <f t="shared" si="15"/>
        <v>0.3857602579560817</v>
      </c>
    </row>
    <row r="289" spans="1:10" s="54" customFormat="1" ht="12.75">
      <c r="A289" s="147"/>
      <c r="B289" s="147"/>
      <c r="C289" s="147" t="s">
        <v>244</v>
      </c>
      <c r="D289" s="148" t="str">
        <f>IF(A289&gt;0,(LOOKUP(A289,'[1]Dz.'!A:A,'[1]Dz.'!B:B)),(IF(B289&gt;0,(LOOKUP(B289,'[1]Roz.'!A:A,'[1]Roz.'!B:B)),(IF(C289&gt;0,(LOOKUP(C289,'[1]par.'!A:A,'[1]par.'!B:B)),0)))))</f>
        <v>Składki na ubezpieczenie zdrowotne</v>
      </c>
      <c r="E289" s="215">
        <v>1094760</v>
      </c>
      <c r="F289" s="201"/>
      <c r="G289" s="201"/>
      <c r="H289" s="201">
        <f t="shared" si="16"/>
        <v>1094760</v>
      </c>
      <c r="I289" s="266">
        <v>422314.9</v>
      </c>
      <c r="J289" s="227">
        <f t="shared" si="15"/>
        <v>0.3857602579560817</v>
      </c>
    </row>
    <row r="290" spans="1:10" s="43" customFormat="1" ht="12.75">
      <c r="A290" s="41">
        <v>852</v>
      </c>
      <c r="B290" s="41"/>
      <c r="C290" s="49"/>
      <c r="D290" s="50" t="s">
        <v>80</v>
      </c>
      <c r="E290" s="190">
        <f>E291+E318+E326+E348+E360+E362</f>
        <v>2746394</v>
      </c>
      <c r="F290" s="190">
        <f>F291+F318+F326+F348+F360+F362</f>
        <v>136161</v>
      </c>
      <c r="G290" s="190">
        <f>G291+G318+G326+G348+G360+G362</f>
        <v>96161</v>
      </c>
      <c r="H290" s="190">
        <f t="shared" si="16"/>
        <v>2786394</v>
      </c>
      <c r="I290" s="276">
        <f>I291+I318+I326+I348+I360+I362</f>
        <v>1550917.2999999998</v>
      </c>
      <c r="J290" s="237">
        <f t="shared" si="15"/>
        <v>0.5566037322790675</v>
      </c>
    </row>
    <row r="291" spans="1:10" s="137" customFormat="1" ht="12.75">
      <c r="A291" s="134"/>
      <c r="B291" s="135" t="s">
        <v>126</v>
      </c>
      <c r="C291" s="157"/>
      <c r="D291" s="175" t="str">
        <f>IF(A291&gt;0,(LOOKUP(A291,'[1]Dz.'!A:A,'[1]Dz.'!B:B)),(IF(B291&gt;0,(LOOKUP(B291,'[1]Roz.'!A:A,'[1]Roz.'!B:B)),(IF(C291&gt;0,(LOOKUP(C291,'[1]par.'!A:A,'[1]par.'!B:B)),0)))))</f>
        <v>Placówki opiekuńczo-wychowawcze</v>
      </c>
      <c r="E291" s="192">
        <f>SUM(E292:E317)</f>
        <v>1516200</v>
      </c>
      <c r="F291" s="192">
        <f>SUM(F292:F317)</f>
        <v>55160</v>
      </c>
      <c r="G291" s="192">
        <f>SUM(G292:G317)</f>
        <v>15160</v>
      </c>
      <c r="H291" s="192">
        <f t="shared" si="16"/>
        <v>1556200</v>
      </c>
      <c r="I291" s="265">
        <f>SUM(I292:I317)</f>
        <v>840419.1800000002</v>
      </c>
      <c r="J291" s="226">
        <f t="shared" si="15"/>
        <v>0.5400457396221566</v>
      </c>
    </row>
    <row r="292" spans="1:10" s="54" customFormat="1" ht="51">
      <c r="A292" s="138"/>
      <c r="B292" s="138"/>
      <c r="C292" s="158" t="s">
        <v>225</v>
      </c>
      <c r="D292" s="174" t="str">
        <f>IF(A292&gt;0,(LOOKUP(A292,'[1]Dz.'!A:A,'[1]Dz.'!B:B)),(IF(B292&gt;0,(LOOKUP(B292,'[1]Roz.'!A:A,'[1]Roz.'!B:B)),(IF(C292&gt;0,(LOOKUP(C292,'[1]par.'!A:A,'[1]par.'!B:B)),0)))))</f>
        <v>Dotacje celowe przekazane dla powiatu na zadania bieżace realzowane na podstawie porozumień (umów) między jednostkami samorzadu terytorialego</v>
      </c>
      <c r="E292" s="195">
        <v>78200</v>
      </c>
      <c r="F292" s="195"/>
      <c r="G292" s="195"/>
      <c r="H292" s="195">
        <f>E292+F292-G292</f>
        <v>78200</v>
      </c>
      <c r="I292" s="262">
        <v>49504.09</v>
      </c>
      <c r="J292" s="223">
        <f t="shared" si="15"/>
        <v>0.6330446291560102</v>
      </c>
    </row>
    <row r="293" spans="1:10" s="54" customFormat="1" ht="14.25" customHeight="1">
      <c r="A293" s="138"/>
      <c r="B293" s="138"/>
      <c r="C293" s="150" t="s">
        <v>162</v>
      </c>
      <c r="D293" s="174" t="str">
        <f>IF(A293&gt;0,(LOOKUP(A293,'[1]Dz.'!A:A,'[1]Dz.'!B:B)),(IF(B293&gt;0,(LOOKUP(B293,'[1]Roz.'!A:A,'[1]Roz.'!B:B)),(IF(C293&gt;0,(LOOKUP(C293,'[1]par.'!A:A,'[1]par.'!B:B)),0)))))</f>
        <v>Świadczenia społeczne</v>
      </c>
      <c r="E293" s="195">
        <v>135476</v>
      </c>
      <c r="F293" s="195"/>
      <c r="G293" s="195"/>
      <c r="H293" s="195">
        <f t="shared" si="16"/>
        <v>135476</v>
      </c>
      <c r="I293" s="262">
        <v>65898</v>
      </c>
      <c r="J293" s="223">
        <f t="shared" si="15"/>
        <v>0.48641825858454635</v>
      </c>
    </row>
    <row r="294" spans="1:10" s="54" customFormat="1" ht="12.75">
      <c r="A294" s="138"/>
      <c r="B294" s="138"/>
      <c r="C294" s="150" t="s">
        <v>163</v>
      </c>
      <c r="D294" s="174" t="str">
        <f>IF(A294&gt;0,(LOOKUP(A294,'[1]Dz.'!A:A,'[1]Dz.'!B:B)),(IF(B294&gt;0,(LOOKUP(B294,'[1]Roz.'!A:A,'[1]Roz.'!B:B)),(IF(C294&gt;0,(LOOKUP(C294,'[1]par.'!A:A,'[1]par.'!B:B)),0)))))</f>
        <v>Wynagrodzenia osobowe pracowników</v>
      </c>
      <c r="E294" s="195">
        <v>598108</v>
      </c>
      <c r="F294" s="195">
        <v>6738</v>
      </c>
      <c r="G294" s="195">
        <v>11548</v>
      </c>
      <c r="H294" s="195">
        <f t="shared" si="16"/>
        <v>593298</v>
      </c>
      <c r="I294" s="262">
        <v>293529.4</v>
      </c>
      <c r="J294" s="223">
        <f t="shared" si="15"/>
        <v>0.4947419340702312</v>
      </c>
    </row>
    <row r="295" spans="1:10" s="54" customFormat="1" ht="12.75">
      <c r="A295" s="138"/>
      <c r="B295" s="138"/>
      <c r="C295" s="150" t="s">
        <v>164</v>
      </c>
      <c r="D295" s="174" t="str">
        <f>IF(A295&gt;0,(LOOKUP(A295,'[1]Dz.'!A:A,'[1]Dz.'!B:B)),(IF(B295&gt;0,(LOOKUP(B295,'[1]Roz.'!A:A,'[1]Roz.'!B:B)),(IF(C295&gt;0,(LOOKUP(C295,'[1]par.'!A:A,'[1]par.'!B:B)),0)))))</f>
        <v>Dodatkowe wynagrodzenie roczne</v>
      </c>
      <c r="E295" s="195">
        <v>42284</v>
      </c>
      <c r="F295" s="195">
        <v>21</v>
      </c>
      <c r="G295" s="195">
        <v>3</v>
      </c>
      <c r="H295" s="195">
        <f t="shared" si="16"/>
        <v>42302</v>
      </c>
      <c r="I295" s="262">
        <v>42275.43</v>
      </c>
      <c r="J295" s="223">
        <f t="shared" si="15"/>
        <v>0.9993718973098199</v>
      </c>
    </row>
    <row r="296" spans="1:10" s="54" customFormat="1" ht="12.75">
      <c r="A296" s="138"/>
      <c r="B296" s="138"/>
      <c r="C296" s="150" t="s">
        <v>165</v>
      </c>
      <c r="D296" s="174" t="str">
        <f>IF(A296&gt;0,(LOOKUP(A296,'[1]Dz.'!A:A,'[1]Dz.'!B:B)),(IF(B296&gt;0,(LOOKUP(B296,'[1]Roz.'!A:A,'[1]Roz.'!B:B)),(IF(C296&gt;0,(LOOKUP(C296,'[1]par.'!A:A,'[1]par.'!B:B)),0)))))</f>
        <v>Składki na ubezpieczenia społeczne</v>
      </c>
      <c r="E296" s="195">
        <v>104420</v>
      </c>
      <c r="F296" s="195">
        <v>2245</v>
      </c>
      <c r="G296" s="195">
        <v>1694</v>
      </c>
      <c r="H296" s="195">
        <f t="shared" si="16"/>
        <v>104971</v>
      </c>
      <c r="I296" s="262">
        <v>55006.69</v>
      </c>
      <c r="J296" s="223">
        <f t="shared" si="15"/>
        <v>0.5240179668670395</v>
      </c>
    </row>
    <row r="297" spans="1:10" s="54" customFormat="1" ht="12.75">
      <c r="A297" s="138"/>
      <c r="B297" s="138"/>
      <c r="C297" s="150" t="s">
        <v>166</v>
      </c>
      <c r="D297" s="174" t="str">
        <f>IF(A297&gt;0,(LOOKUP(A297,'[1]Dz.'!A:A,'[1]Dz.'!B:B)),(IF(B297&gt;0,(LOOKUP(B297,'[1]Roz.'!A:A,'[1]Roz.'!B:B)),(IF(C297&gt;0,(LOOKUP(C297,'[1]par.'!A:A,'[1]par.'!B:B)),0)))))</f>
        <v>Składki na Fundusz Pracy</v>
      </c>
      <c r="E297" s="195">
        <v>13721</v>
      </c>
      <c r="F297" s="195">
        <v>306</v>
      </c>
      <c r="G297" s="195">
        <v>231</v>
      </c>
      <c r="H297" s="195">
        <f t="shared" si="16"/>
        <v>13796</v>
      </c>
      <c r="I297" s="262">
        <v>6854.59</v>
      </c>
      <c r="J297" s="223">
        <f t="shared" si="15"/>
        <v>0.4968534357784865</v>
      </c>
    </row>
    <row r="298" spans="1:10" s="54" customFormat="1" ht="12.75">
      <c r="A298" s="138"/>
      <c r="B298" s="138"/>
      <c r="C298" s="150" t="s">
        <v>168</v>
      </c>
      <c r="D298" s="174" t="str">
        <f>IF(A298&gt;0,(LOOKUP(A298,'[1]Dz.'!A:A,'[1]Dz.'!B:B)),(IF(B298&gt;0,(LOOKUP(B298,'[1]Roz.'!A:A,'[1]Roz.'!B:B)),(IF(C298&gt;0,(LOOKUP(C298,'[1]par.'!A:A,'[1]par.'!B:B)),0)))))</f>
        <v>Wynagrodzenia bezosobowe</v>
      </c>
      <c r="E298" s="195">
        <v>4639</v>
      </c>
      <c r="F298" s="195"/>
      <c r="G298" s="195"/>
      <c r="H298" s="195">
        <f t="shared" si="16"/>
        <v>4639</v>
      </c>
      <c r="I298" s="262">
        <v>3212.24</v>
      </c>
      <c r="J298" s="223">
        <f t="shared" si="15"/>
        <v>0.6924423367104979</v>
      </c>
    </row>
    <row r="299" spans="1:10" s="54" customFormat="1" ht="12.75">
      <c r="A299" s="138"/>
      <c r="B299" s="138"/>
      <c r="C299" s="150" t="s">
        <v>156</v>
      </c>
      <c r="D299" s="174" t="str">
        <f>IF(A299&gt;0,(LOOKUP(A299,'[1]Dz.'!A:A,'[1]Dz.'!B:B)),(IF(B299&gt;0,(LOOKUP(B299,'[1]Roz.'!A:A,'[1]Roz.'!B:B)),(IF(C299&gt;0,(LOOKUP(C299,'[1]par.'!A:A,'[1]par.'!B:B)),0)))))</f>
        <v>Zakup materiałów i wyposażenia</v>
      </c>
      <c r="E299" s="195">
        <v>131436</v>
      </c>
      <c r="F299" s="195">
        <v>14330</v>
      </c>
      <c r="G299" s="195"/>
      <c r="H299" s="195">
        <f t="shared" si="16"/>
        <v>145766</v>
      </c>
      <c r="I299" s="262">
        <v>67322.92</v>
      </c>
      <c r="J299" s="223">
        <f t="shared" si="15"/>
        <v>0.4618561255711208</v>
      </c>
    </row>
    <row r="300" spans="1:10" s="54" customFormat="1" ht="12.75">
      <c r="A300" s="138"/>
      <c r="B300" s="138"/>
      <c r="C300" s="150" t="s">
        <v>245</v>
      </c>
      <c r="D300" s="174" t="str">
        <f>IF(A300&gt;0,(LOOKUP(A300,'[1]Dz.'!A:A,'[1]Dz.'!B:B)),(IF(B300&gt;0,(LOOKUP(B300,'[1]Roz.'!A:A,'[1]Roz.'!B:B)),(IF(C300&gt;0,(LOOKUP(C300,'[1]par.'!A:A,'[1]par.'!B:B)),0)))))</f>
        <v>Zakup środków żwyności</v>
      </c>
      <c r="E300" s="195">
        <v>136891</v>
      </c>
      <c r="F300" s="195">
        <v>20711</v>
      </c>
      <c r="G300" s="195"/>
      <c r="H300" s="195">
        <f t="shared" si="16"/>
        <v>157602</v>
      </c>
      <c r="I300" s="262">
        <v>83675.3</v>
      </c>
      <c r="J300" s="223">
        <f t="shared" si="15"/>
        <v>0.5309279070062562</v>
      </c>
    </row>
    <row r="301" spans="1:10" s="54" customFormat="1" ht="12.75">
      <c r="A301" s="138"/>
      <c r="B301" s="138"/>
      <c r="C301" s="150" t="s">
        <v>246</v>
      </c>
      <c r="D301" s="174" t="str">
        <f>IF(A301&gt;0,(LOOKUP(A301,'[1]Dz.'!A:A,'[1]Dz.'!B:B)),(IF(B301&gt;0,(LOOKUP(B301,'[1]Roz.'!A:A,'[1]Roz.'!B:B)),(IF(C301&gt;0,(LOOKUP(C301,'[1]par.'!A:A,'[1]par.'!B:B)),0)))))</f>
        <v>Zakup środków żwyności</v>
      </c>
      <c r="E301" s="195">
        <v>6000</v>
      </c>
      <c r="F301" s="195"/>
      <c r="G301" s="195"/>
      <c r="H301" s="195">
        <f t="shared" si="16"/>
        <v>6000</v>
      </c>
      <c r="I301" s="262">
        <v>1876.03</v>
      </c>
      <c r="J301" s="223">
        <f t="shared" si="15"/>
        <v>0.3126716666666667</v>
      </c>
    </row>
    <row r="302" spans="1:10" s="54" customFormat="1" ht="25.5">
      <c r="A302" s="138"/>
      <c r="B302" s="138"/>
      <c r="C302" s="150" t="s">
        <v>213</v>
      </c>
      <c r="D302" s="174" t="str">
        <f>IF(A302&gt;0,(LOOKUP(A302,'[1]Dz.'!A:A,'[1]Dz.'!B:B)),(IF(B302&gt;0,(LOOKUP(B302,'[1]Roz.'!A:A,'[1]Roz.'!B:B)),(IF(C302&gt;0,(LOOKUP(C302,'[1]par.'!A:A,'[1]par.'!B:B)),0)))))</f>
        <v>Zakup pomocy naukowych, dydaktycznych i książek</v>
      </c>
      <c r="E302" s="195">
        <v>4000</v>
      </c>
      <c r="F302" s="195"/>
      <c r="G302" s="195"/>
      <c r="H302" s="195">
        <f t="shared" si="16"/>
        <v>4000</v>
      </c>
      <c r="I302" s="262">
        <v>357</v>
      </c>
      <c r="J302" s="223">
        <f t="shared" si="15"/>
        <v>0.08925</v>
      </c>
    </row>
    <row r="303" spans="1:10" s="54" customFormat="1" ht="12.75">
      <c r="A303" s="138"/>
      <c r="B303" s="138"/>
      <c r="C303" s="150" t="s">
        <v>169</v>
      </c>
      <c r="D303" s="174" t="str">
        <f>IF(A303&gt;0,(LOOKUP(A303,'[1]Dz.'!A:A,'[1]Dz.'!B:B)),(IF(B303&gt;0,(LOOKUP(B303,'[1]Roz.'!A:A,'[1]Roz.'!B:B)),(IF(C303&gt;0,(LOOKUP(C303,'[1]par.'!A:A,'[1]par.'!B:B)),0)))))</f>
        <v>Zakup energii</v>
      </c>
      <c r="E303" s="195">
        <v>83911</v>
      </c>
      <c r="F303" s="195">
        <v>1494</v>
      </c>
      <c r="G303" s="195"/>
      <c r="H303" s="195">
        <f t="shared" si="16"/>
        <v>85405</v>
      </c>
      <c r="I303" s="262">
        <v>47451.03</v>
      </c>
      <c r="J303" s="223">
        <f t="shared" si="15"/>
        <v>0.555600140506996</v>
      </c>
    </row>
    <row r="304" spans="1:10" s="54" customFormat="1" ht="12.75">
      <c r="A304" s="138"/>
      <c r="B304" s="138"/>
      <c r="C304" s="150" t="s">
        <v>170</v>
      </c>
      <c r="D304" s="174" t="str">
        <f>IF(A304&gt;0,(LOOKUP(A304,'[1]Dz.'!A:A,'[1]Dz.'!B:B)),(IF(B304&gt;0,(LOOKUP(B304,'[1]Roz.'!A:A,'[1]Roz.'!B:B)),(IF(C304&gt;0,(LOOKUP(C304,'[1]par.'!A:A,'[1]par.'!B:B)),0)))))</f>
        <v>Zakup usług remontowych</v>
      </c>
      <c r="E304" s="195">
        <v>40000</v>
      </c>
      <c r="F304" s="195"/>
      <c r="G304" s="195"/>
      <c r="H304" s="195">
        <f t="shared" si="16"/>
        <v>40000</v>
      </c>
      <c r="I304" s="262">
        <v>36161.09</v>
      </c>
      <c r="J304" s="223">
        <f t="shared" si="15"/>
        <v>0.90402725</v>
      </c>
    </row>
    <row r="305" spans="1:10" s="54" customFormat="1" ht="12.75">
      <c r="A305" s="138"/>
      <c r="B305" s="138"/>
      <c r="C305" s="150" t="s">
        <v>194</v>
      </c>
      <c r="D305" s="174" t="str">
        <f>IF(A305&gt;0,(LOOKUP(A305,'[1]Dz.'!A:A,'[1]Dz.'!B:B)),(IF(B305&gt;0,(LOOKUP(B305,'[1]Roz.'!A:A,'[1]Roz.'!B:B)),(IF(C305&gt;0,(LOOKUP(C305,'[1]par.'!A:A,'[1]par.'!B:B)),0)))))</f>
        <v>Zakup usług zdrowotnych</v>
      </c>
      <c r="E305" s="195">
        <v>1040</v>
      </c>
      <c r="F305" s="195"/>
      <c r="G305" s="195"/>
      <c r="H305" s="195">
        <f t="shared" si="16"/>
        <v>1040</v>
      </c>
      <c r="I305" s="262">
        <v>589</v>
      </c>
      <c r="J305" s="223">
        <f t="shared" si="15"/>
        <v>0.5663461538461538</v>
      </c>
    </row>
    <row r="306" spans="1:10" s="54" customFormat="1" ht="12.75">
      <c r="A306" s="138"/>
      <c r="B306" s="138"/>
      <c r="C306" s="150" t="s">
        <v>157</v>
      </c>
      <c r="D306" s="174" t="str">
        <f>IF(A306&gt;0,(LOOKUP(A306,'[1]Dz.'!A:A,'[1]Dz.'!B:B)),(IF(B306&gt;0,(LOOKUP(B306,'[1]Roz.'!A:A,'[1]Roz.'!B:B)),(IF(C306&gt;0,(LOOKUP(C306,'[1]par.'!A:A,'[1]par.'!B:B)),0)))))</f>
        <v>Zakup usług pozostałych</v>
      </c>
      <c r="E306" s="195">
        <v>82454</v>
      </c>
      <c r="F306" s="195">
        <v>7323</v>
      </c>
      <c r="G306" s="195">
        <v>1000</v>
      </c>
      <c r="H306" s="195">
        <f t="shared" si="16"/>
        <v>88777</v>
      </c>
      <c r="I306" s="262">
        <v>53954.74</v>
      </c>
      <c r="J306" s="223">
        <f t="shared" si="15"/>
        <v>0.6077558376606553</v>
      </c>
    </row>
    <row r="307" spans="1:10" s="54" customFormat="1" ht="12.75">
      <c r="A307" s="138"/>
      <c r="B307" s="138"/>
      <c r="C307" s="150" t="s">
        <v>171</v>
      </c>
      <c r="D307" s="174" t="str">
        <f>IF(A307&gt;0,(LOOKUP(A307,'[1]Dz.'!A:A,'[1]Dz.'!B:B)),(IF(B307&gt;0,(LOOKUP(B307,'[1]Roz.'!A:A,'[1]Roz.'!B:B)),(IF(C307&gt;0,(LOOKUP(C307,'[1]par.'!A:A,'[1]par.'!B:B)),0)))))</f>
        <v>Zakup dostępu do sieci internet</v>
      </c>
      <c r="E307" s="195">
        <v>2892</v>
      </c>
      <c r="F307" s="195"/>
      <c r="G307" s="195"/>
      <c r="H307" s="195">
        <f t="shared" si="16"/>
        <v>2892</v>
      </c>
      <c r="I307" s="262">
        <v>1191.99</v>
      </c>
      <c r="J307" s="223">
        <f t="shared" si="15"/>
        <v>0.41216804979253113</v>
      </c>
    </row>
    <row r="308" spans="1:10" s="54" customFormat="1" ht="38.25">
      <c r="A308" s="138"/>
      <c r="B308" s="138"/>
      <c r="C308" s="150" t="s">
        <v>172</v>
      </c>
      <c r="D308" s="174" t="str">
        <f>IF(A308&gt;0,(LOOKUP(A308,'[1]Dz.'!A:A,'[1]Dz.'!B:B)),(IF(B308&gt;0,(LOOKUP(B308,'[1]Roz.'!A:A,'[1]Roz.'!B:B)),(IF(C308&gt;0,(LOOKUP(C308,'[1]par.'!A:A,'[1]par.'!B:B)),0)))))</f>
        <v>Opłaty z tytułu zakupu usług telekomunikacyjnych telefonii komórkowej</v>
      </c>
      <c r="E308" s="195">
        <v>2000</v>
      </c>
      <c r="F308" s="195"/>
      <c r="G308" s="195"/>
      <c r="H308" s="195">
        <f t="shared" si="16"/>
        <v>2000</v>
      </c>
      <c r="I308" s="262">
        <v>1327.79</v>
      </c>
      <c r="J308" s="223">
        <f t="shared" si="15"/>
        <v>0.663895</v>
      </c>
    </row>
    <row r="309" spans="1:10" s="54" customFormat="1" ht="38.25">
      <c r="A309" s="138"/>
      <c r="B309" s="138"/>
      <c r="C309" s="150" t="s">
        <v>173</v>
      </c>
      <c r="D309" s="174" t="str">
        <f>IF(A309&gt;0,(LOOKUP(A309,'[1]Dz.'!A:A,'[1]Dz.'!B:B)),(IF(B309&gt;0,(LOOKUP(B309,'[1]Roz.'!A:A,'[1]Roz.'!B:B)),(IF(C309&gt;0,(LOOKUP(C309,'[1]par.'!A:A,'[1]par.'!B:B)),0)))))</f>
        <v>Opłaty z tytułu zakupu usług telekomunikacyjnych telefonii stacjonarnej</v>
      </c>
      <c r="E309" s="195">
        <v>7708</v>
      </c>
      <c r="F309" s="195"/>
      <c r="G309" s="195"/>
      <c r="H309" s="195">
        <f t="shared" si="16"/>
        <v>7708</v>
      </c>
      <c r="I309" s="262">
        <v>2988.03</v>
      </c>
      <c r="J309" s="223">
        <f t="shared" si="15"/>
        <v>0.3876530877010898</v>
      </c>
    </row>
    <row r="310" spans="1:10" s="54" customFormat="1" ht="12.75">
      <c r="A310" s="138"/>
      <c r="B310" s="138"/>
      <c r="C310" s="150" t="s">
        <v>174</v>
      </c>
      <c r="D310" s="174" t="str">
        <f>IF(A310&gt;0,(LOOKUP(A310,'[1]Dz.'!A:A,'[1]Dz.'!B:B)),(IF(B310&gt;0,(LOOKUP(B310,'[1]Roz.'!A:A,'[1]Roz.'!B:B)),(IF(C310&gt;0,(LOOKUP(C310,'[1]par.'!A:A,'[1]par.'!B:B)),0)))))</f>
        <v>Podróże służbowe krajowe</v>
      </c>
      <c r="E310" s="195">
        <v>3400</v>
      </c>
      <c r="F310" s="195"/>
      <c r="G310" s="195">
        <v>461</v>
      </c>
      <c r="H310" s="195">
        <f t="shared" si="16"/>
        <v>2939</v>
      </c>
      <c r="I310" s="262">
        <v>1595.26</v>
      </c>
      <c r="J310" s="223">
        <f t="shared" si="15"/>
        <v>0.5427900646478394</v>
      </c>
    </row>
    <row r="311" spans="1:10" s="54" customFormat="1" ht="12.75">
      <c r="A311" s="138"/>
      <c r="B311" s="138"/>
      <c r="C311" s="150" t="s">
        <v>190</v>
      </c>
      <c r="D311" s="174" t="str">
        <f>IF(A311&gt;0,(LOOKUP(A311,'[1]Dz.'!A:A,'[1]Dz.'!B:B)),(IF(B311&gt;0,(LOOKUP(B311,'[1]Roz.'!A:A,'[1]Roz.'!B:B)),(IF(C311&gt;0,(LOOKUP(C311,'[1]par.'!A:A,'[1]par.'!B:B)),0)))))</f>
        <v>Podróże służbowe zagraniczne</v>
      </c>
      <c r="E311" s="195"/>
      <c r="F311" s="195">
        <v>461</v>
      </c>
      <c r="G311" s="195"/>
      <c r="H311" s="195">
        <f>E311+F311-G311</f>
        <v>461</v>
      </c>
      <c r="I311" s="262">
        <v>460.67</v>
      </c>
      <c r="J311" s="223">
        <f t="shared" si="15"/>
        <v>0.9992841648590022</v>
      </c>
    </row>
    <row r="312" spans="1:10" s="54" customFormat="1" ht="12.75">
      <c r="A312" s="138"/>
      <c r="B312" s="138"/>
      <c r="C312" s="150" t="s">
        <v>175</v>
      </c>
      <c r="D312" s="174" t="str">
        <f>IF(A312&gt;0,(LOOKUP(A312,'[1]Dz.'!A:A,'[1]Dz.'!B:B)),(IF(B312&gt;0,(LOOKUP(B312,'[1]Roz.'!A:A,'[1]Roz.'!B:B)),(IF(C312&gt;0,(LOOKUP(C312,'[1]par.'!A:A,'[1]par.'!B:B)),0)))))</f>
        <v>Różne opłaty i składki</v>
      </c>
      <c r="E312" s="195">
        <v>4917</v>
      </c>
      <c r="F312" s="195">
        <v>183</v>
      </c>
      <c r="G312" s="195"/>
      <c r="H312" s="195">
        <f t="shared" si="16"/>
        <v>5100</v>
      </c>
      <c r="I312" s="262">
        <v>1607.9</v>
      </c>
      <c r="J312" s="223">
        <f aca="true" t="shared" si="17" ref="J312:J326">I312/H312</f>
        <v>0.3152745098039216</v>
      </c>
    </row>
    <row r="313" spans="1:10" s="54" customFormat="1" ht="25.5">
      <c r="A313" s="138"/>
      <c r="B313" s="138"/>
      <c r="C313" s="150" t="s">
        <v>176</v>
      </c>
      <c r="D313" s="174" t="str">
        <f>IF(A313&gt;0,(LOOKUP(A313,'[1]Dz.'!A:A,'[1]Dz.'!B:B)),(IF(B313&gt;0,(LOOKUP(B313,'[1]Roz.'!A:A,'[1]Roz.'!B:B)),(IF(C313&gt;0,(LOOKUP(C313,'[1]par.'!A:A,'[1]par.'!B:B)),0)))))</f>
        <v>Odpisy na zakladowy fundusz świadczeń socjalnych</v>
      </c>
      <c r="E313" s="195">
        <v>26716</v>
      </c>
      <c r="F313" s="195"/>
      <c r="G313" s="195">
        <v>223</v>
      </c>
      <c r="H313" s="195">
        <f t="shared" si="16"/>
        <v>26493</v>
      </c>
      <c r="I313" s="262">
        <v>22047.89</v>
      </c>
      <c r="J313" s="223">
        <f t="shared" si="17"/>
        <v>0.8322156796134828</v>
      </c>
    </row>
    <row r="314" spans="1:10" s="54" customFormat="1" ht="12.75">
      <c r="A314" s="138"/>
      <c r="B314" s="138"/>
      <c r="C314" s="150" t="s">
        <v>177</v>
      </c>
      <c r="D314" s="174" t="str">
        <f>IF(A314&gt;0,(LOOKUP(A314,'[1]Dz.'!A:A,'[1]Dz.'!B:B)),(IF(B314&gt;0,(LOOKUP(B314,'[1]Roz.'!A:A,'[1]Roz.'!B:B)),(IF(C314&gt;0,(LOOKUP(C314,'[1]par.'!A:A,'[1]par.'!B:B)),0)))))</f>
        <v>Podatek od nieruchomości</v>
      </c>
      <c r="E314" s="195">
        <v>517</v>
      </c>
      <c r="F314" s="195">
        <v>125</v>
      </c>
      <c r="G314" s="195"/>
      <c r="H314" s="195">
        <f>E314+F314-G314</f>
        <v>642</v>
      </c>
      <c r="I314" s="262">
        <v>630.9</v>
      </c>
      <c r="J314" s="223">
        <f t="shared" si="17"/>
        <v>0.9827102803738318</v>
      </c>
    </row>
    <row r="315" spans="1:10" s="54" customFormat="1" ht="12.75">
      <c r="A315" s="138"/>
      <c r="B315" s="138"/>
      <c r="C315" s="150" t="s">
        <v>180</v>
      </c>
      <c r="D315" s="139" t="str">
        <f>IF(A315&gt;0,(LOOKUP(A315,'[1]Dz.'!A:A,'[1]Dz.'!B:B)),(IF(B315&gt;0,(LOOKUP(B315,'[1]Roz.'!A:A,'[1]Roz.'!B:B)),(IF(C315&gt;0,(LOOKUP(C315,'[1]par.'!A:A,'[1]par.'!B:B)),0)))))</f>
        <v>Szkolenia pracowników</v>
      </c>
      <c r="E315" s="194"/>
      <c r="F315" s="194">
        <v>1000</v>
      </c>
      <c r="G315" s="195"/>
      <c r="H315" s="195">
        <f>E315+F315-G315</f>
        <v>1000</v>
      </c>
      <c r="I315" s="262">
        <v>450</v>
      </c>
      <c r="J315" s="223">
        <f t="shared" si="17"/>
        <v>0.45</v>
      </c>
    </row>
    <row r="316" spans="1:10" s="54" customFormat="1" ht="38.25">
      <c r="A316" s="138"/>
      <c r="B316" s="138"/>
      <c r="C316" s="150" t="s">
        <v>181</v>
      </c>
      <c r="D316" s="174" t="str">
        <f>IF(A316&gt;0,(LOOKUP(A316,'[1]Dz.'!A:A,'[1]Dz.'!B:B)),(IF(B316&gt;0,(LOOKUP(B316,'[1]Roz.'!A:A,'[1]Roz.'!B:B)),(IF(C316&gt;0,(LOOKUP(C316,'[1]par.'!A:A,'[1]par.'!B:B)),0)))))</f>
        <v>Zakup materiałów papierniczych do sprzętu drukarskego i urządzeń kserograficznych</v>
      </c>
      <c r="E316" s="195">
        <v>2440</v>
      </c>
      <c r="F316" s="195">
        <v>223</v>
      </c>
      <c r="G316" s="195"/>
      <c r="H316" s="195">
        <f t="shared" si="16"/>
        <v>2663</v>
      </c>
      <c r="I316" s="262">
        <v>63.2</v>
      </c>
      <c r="J316" s="223">
        <f t="shared" si="17"/>
        <v>0.023732632369508073</v>
      </c>
    </row>
    <row r="317" spans="1:10" s="54" customFormat="1" ht="25.5">
      <c r="A317" s="138"/>
      <c r="B317" s="138"/>
      <c r="C317" s="150" t="s">
        <v>182</v>
      </c>
      <c r="D317" s="174" t="str">
        <f>IF(A317&gt;0,(LOOKUP(A317,'[1]Dz.'!A:A,'[1]Dz.'!B:B)),(IF(B317&gt;0,(LOOKUP(B317,'[1]Roz.'!A:A,'[1]Roz.'!B:B)),(IF(C317&gt;0,(LOOKUP(C317,'[1]par.'!A:A,'[1]par.'!B:B)),0)))))</f>
        <v>Zakup akcesoriów komputerowych, w tym programów i licencji</v>
      </c>
      <c r="E317" s="195">
        <v>3030</v>
      </c>
      <c r="F317" s="195"/>
      <c r="G317" s="195"/>
      <c r="H317" s="195">
        <f t="shared" si="16"/>
        <v>3030</v>
      </c>
      <c r="I317" s="262">
        <v>388</v>
      </c>
      <c r="J317" s="223">
        <f t="shared" si="17"/>
        <v>0.12805280528052806</v>
      </c>
    </row>
    <row r="318" spans="1:10" s="137" customFormat="1" ht="12.75">
      <c r="A318" s="134"/>
      <c r="B318" s="135" t="s">
        <v>127</v>
      </c>
      <c r="C318" s="157"/>
      <c r="D318" s="175" t="str">
        <f>IF(A318&gt;0,(LOOKUP(A318,'[1]Dz.'!A:A,'[1]Dz.'!B:B)),(IF(B318&gt;0,(LOOKUP(B318,'[1]Roz.'!A:A,'[1]Roz.'!B:B)),(IF(C318&gt;0,(LOOKUP(C318,'[1]par.'!A:A,'[1]par.'!B:B)),0)))))</f>
        <v>Rodziny zastępcze</v>
      </c>
      <c r="E318" s="192">
        <f>SUM(E319:E322)</f>
        <v>958194</v>
      </c>
      <c r="F318" s="192">
        <f>SUM(F319:F322)</f>
        <v>0</v>
      </c>
      <c r="G318" s="192">
        <f>SUM(G319:G322)</f>
        <v>0</v>
      </c>
      <c r="H318" s="192">
        <f t="shared" si="16"/>
        <v>958194</v>
      </c>
      <c r="I318" s="265">
        <f>SUM(I319:I322)</f>
        <v>579149.5499999999</v>
      </c>
      <c r="J318" s="226">
        <f t="shared" si="17"/>
        <v>0.6044178423158566</v>
      </c>
    </row>
    <row r="319" spans="1:10" s="54" customFormat="1" ht="51">
      <c r="A319" s="138"/>
      <c r="B319" s="138"/>
      <c r="C319" s="158" t="s">
        <v>225</v>
      </c>
      <c r="D319" s="174" t="str">
        <f>IF(A319&gt;0,(LOOKUP(A319,'[1]Dz.'!A:A,'[1]Dz.'!B:B)),(IF(B319&gt;0,(LOOKUP(B319,'[1]Roz.'!A:A,'[1]Roz.'!B:B)),(IF(C319&gt;0,(LOOKUP(C319,'[1]par.'!A:A,'[1]par.'!B:B)),0)))))</f>
        <v>Dotacje celowe przekazane dla powiatu na zadania bieżace realzowane na podstawie porozumień (umów) między jednostkami samorzadu terytorialego</v>
      </c>
      <c r="E319" s="195">
        <v>47194</v>
      </c>
      <c r="F319" s="195"/>
      <c r="G319" s="195"/>
      <c r="H319" s="195">
        <f t="shared" si="16"/>
        <v>47194</v>
      </c>
      <c r="I319" s="262">
        <v>24310.84</v>
      </c>
      <c r="J319" s="223">
        <f t="shared" si="17"/>
        <v>0.515125651565877</v>
      </c>
    </row>
    <row r="320" spans="1:10" s="54" customFormat="1" ht="12.75">
      <c r="A320" s="138"/>
      <c r="B320" s="138"/>
      <c r="C320" s="158" t="s">
        <v>162</v>
      </c>
      <c r="D320" s="174" t="str">
        <f>IF(A320&gt;0,(LOOKUP(A320,'[1]Dz.'!A:A,'[1]Dz.'!B:B)),(IF(B320&gt;0,(LOOKUP(B320,'[1]Roz.'!A:A,'[1]Roz.'!B:B)),(IF(C320&gt;0,(LOOKUP(C320,'[1]par.'!A:A,'[1]par.'!B:B)),0)))))</f>
        <v>Świadczenia społeczne</v>
      </c>
      <c r="E320" s="195">
        <v>890745</v>
      </c>
      <c r="F320" s="195"/>
      <c r="G320" s="195"/>
      <c r="H320" s="195">
        <f t="shared" si="16"/>
        <v>890745</v>
      </c>
      <c r="I320" s="262">
        <v>542220.57</v>
      </c>
      <c r="J320" s="223">
        <f t="shared" si="17"/>
        <v>0.6087270430931411</v>
      </c>
    </row>
    <row r="321" spans="1:10" s="54" customFormat="1" ht="12.75" hidden="1">
      <c r="A321" s="138"/>
      <c r="B321" s="138"/>
      <c r="C321" s="158" t="s">
        <v>165</v>
      </c>
      <c r="D321" s="174" t="str">
        <f>IF(A321&gt;0,(LOOKUP(A321,'[1]Dz.'!A:A,'[1]Dz.'!B:B)),(IF(B321&gt;0,(LOOKUP(B321,'[1]Roz.'!A:A,'[1]Roz.'!B:B)),(IF(C321&gt;0,(LOOKUP(C321,'[1]par.'!A:A,'[1]par.'!B:B)),0)))))</f>
        <v>Składki na ubezpieczenia społeczne</v>
      </c>
      <c r="E321" s="195">
        <v>0</v>
      </c>
      <c r="F321" s="195"/>
      <c r="G321" s="195"/>
      <c r="H321" s="195">
        <f t="shared" si="16"/>
        <v>0</v>
      </c>
      <c r="I321" s="262"/>
      <c r="J321" s="223" t="e">
        <f t="shared" si="17"/>
        <v>#DIV/0!</v>
      </c>
    </row>
    <row r="322" spans="1:10" s="54" customFormat="1" ht="12.75">
      <c r="A322" s="138"/>
      <c r="B322" s="138"/>
      <c r="C322" s="158" t="s">
        <v>168</v>
      </c>
      <c r="D322" s="174" t="str">
        <f>IF(A322&gt;0,(LOOKUP(A322,'[1]Dz.'!A:A,'[1]Dz.'!B:B)),(IF(B322&gt;0,(LOOKUP(B322,'[1]Roz.'!A:A,'[1]Roz.'!B:B)),(IF(C322&gt;0,(LOOKUP(C322,'[1]par.'!A:A,'[1]par.'!B:B)),0)))))</f>
        <v>Wynagrodzenia bezosobowe</v>
      </c>
      <c r="E322" s="195">
        <v>20255</v>
      </c>
      <c r="F322" s="195"/>
      <c r="G322" s="195"/>
      <c r="H322" s="195">
        <f t="shared" si="16"/>
        <v>20255</v>
      </c>
      <c r="I322" s="262">
        <v>12618.14</v>
      </c>
      <c r="J322" s="223">
        <f t="shared" si="17"/>
        <v>0.6229642063687978</v>
      </c>
    </row>
    <row r="323" spans="1:10" s="54" customFormat="1" ht="12.75" hidden="1">
      <c r="A323" s="138"/>
      <c r="B323" s="138"/>
      <c r="C323" s="158" t="s">
        <v>157</v>
      </c>
      <c r="D323" s="174" t="str">
        <f>IF(A323&gt;0,(LOOKUP(A323,'[1]Dz.'!A:A,'[1]Dz.'!B:B)),(IF(B323&gt;0,(LOOKUP(B323,'[1]Roz.'!A:A,'[1]Roz.'!B:B)),(IF(C323&gt;0,(LOOKUP(C323,'[1]par.'!A:A,'[1]par.'!B:B)),0)))))</f>
        <v>Zakup usług pozostałych</v>
      </c>
      <c r="E323" s="195">
        <v>0</v>
      </c>
      <c r="F323" s="195"/>
      <c r="G323" s="195"/>
      <c r="H323" s="195">
        <f t="shared" si="16"/>
        <v>0</v>
      </c>
      <c r="I323" s="262"/>
      <c r="J323" s="223" t="e">
        <f t="shared" si="17"/>
        <v>#DIV/0!</v>
      </c>
    </row>
    <row r="324" spans="1:10" s="137" customFormat="1" ht="38.25" hidden="1">
      <c r="A324" s="134"/>
      <c r="B324" s="135" t="s">
        <v>128</v>
      </c>
      <c r="C324" s="157"/>
      <c r="D324" s="175" t="str">
        <f>IF(A324&gt;0,(LOOKUP(A324,'[1]Dz.'!A:A,'[1]Dz.'!B:B)),(IF(B324&gt;0,(LOOKUP(B324,'[1]Roz.'!A:A,'[1]Roz.'!B:B)),(IF(C324&gt;0,(LOOKUP(C324,'[1]par.'!A:A,'[1]par.'!B:B)),0)))))</f>
        <v>Świadczenia rodzinne oraz składki na ubezpieczenia emerytalne i rentowe z ubezpieczenia społecznego</v>
      </c>
      <c r="E324" s="192">
        <v>0</v>
      </c>
      <c r="F324" s="192"/>
      <c r="G324" s="192"/>
      <c r="H324" s="192">
        <f t="shared" si="16"/>
        <v>0</v>
      </c>
      <c r="I324" s="265"/>
      <c r="J324" s="226" t="e">
        <f t="shared" si="17"/>
        <v>#DIV/0!</v>
      </c>
    </row>
    <row r="325" spans="1:10" s="54" customFormat="1" ht="12.75" hidden="1">
      <c r="A325" s="138"/>
      <c r="B325" s="138"/>
      <c r="C325" s="158" t="s">
        <v>162</v>
      </c>
      <c r="D325" s="174" t="str">
        <f>IF(A325&gt;0,(LOOKUP(A325,'[1]Dz.'!A:A,'[1]Dz.'!B:B)),(IF(B325&gt;0,(LOOKUP(B325,'[1]Roz.'!A:A,'[1]Roz.'!B:B)),(IF(C325&gt;0,(LOOKUP(C325,'[1]par.'!A:A,'[1]par.'!B:B)),0)))))</f>
        <v>Świadczenia społeczne</v>
      </c>
      <c r="E325" s="195">
        <v>0</v>
      </c>
      <c r="F325" s="195"/>
      <c r="G325" s="195"/>
      <c r="H325" s="195">
        <f t="shared" si="16"/>
        <v>0</v>
      </c>
      <c r="I325" s="262"/>
      <c r="J325" s="223" t="e">
        <f t="shared" si="17"/>
        <v>#DIV/0!</v>
      </c>
    </row>
    <row r="326" spans="1:10" s="137" customFormat="1" ht="12.75">
      <c r="A326" s="134"/>
      <c r="B326" s="135" t="s">
        <v>129</v>
      </c>
      <c r="C326" s="157" t="s">
        <v>174</v>
      </c>
      <c r="D326" s="175" t="str">
        <f>IF(A326&gt;0,(LOOKUP(A326,'[1]Dz.'!A:A,'[1]Dz.'!B:B)),(IF(B326&gt;0,(LOOKUP(B326,'[1]Roz.'!A:A,'[1]Roz.'!B:B)),(IF(C326&gt;0,(LOOKUP(C326,'[1]par.'!A:A,'[1]par.'!B:B)),0)))))</f>
        <v>Powiatowe centra pomocy rodzinie</v>
      </c>
      <c r="E326" s="192">
        <f>SUM(E327:E345)</f>
        <v>249000</v>
      </c>
      <c r="F326" s="192">
        <f>SUM(F327:F345)</f>
        <v>76001</v>
      </c>
      <c r="G326" s="192">
        <f>SUM(G327:G345)</f>
        <v>76001</v>
      </c>
      <c r="H326" s="192">
        <f t="shared" si="16"/>
        <v>249000</v>
      </c>
      <c r="I326" s="265">
        <f>SUM(I327:I345)</f>
        <v>125820.17999999998</v>
      </c>
      <c r="J326" s="226">
        <f t="shared" si="17"/>
        <v>0.5053019277108433</v>
      </c>
    </row>
    <row r="327" spans="1:10" s="54" customFormat="1" ht="38.25">
      <c r="A327" s="138"/>
      <c r="B327" s="176"/>
      <c r="C327" s="177">
        <v>2580</v>
      </c>
      <c r="D327" s="178" t="s">
        <v>266</v>
      </c>
      <c r="E327" s="206">
        <v>0</v>
      </c>
      <c r="F327" s="206">
        <v>72131</v>
      </c>
      <c r="G327" s="206">
        <v>72131</v>
      </c>
      <c r="H327" s="206">
        <f t="shared" si="16"/>
        <v>0</v>
      </c>
      <c r="I327" s="269"/>
      <c r="J327" s="230"/>
    </row>
    <row r="328" spans="1:10" s="54" customFormat="1" ht="25.5">
      <c r="A328" s="138"/>
      <c r="B328" s="138"/>
      <c r="C328" s="150" t="s">
        <v>161</v>
      </c>
      <c r="D328" s="174" t="str">
        <f>IF(A328&gt;0,(LOOKUP(A328,'[1]Dz.'!A:A,'[1]Dz.'!B:B)),(IF(B328&gt;0,(LOOKUP(B328,'[1]Roz.'!A:A,'[1]Roz.'!B:B)),(IF(C328&gt;0,(LOOKUP(C328,'[1]par.'!A:A,'[1]par.'!B:B)),0)))))</f>
        <v>Nagrody i wydatki osobowe nie zaliczone do wynagrodzeń</v>
      </c>
      <c r="E328" s="195"/>
      <c r="F328" s="195">
        <v>70</v>
      </c>
      <c r="G328" s="195"/>
      <c r="H328" s="195">
        <f>E328+F328-G328</f>
        <v>70</v>
      </c>
      <c r="I328" s="262">
        <v>34.62</v>
      </c>
      <c r="J328" s="223">
        <f aca="true" t="shared" si="18" ref="J328:J359">I328/H328</f>
        <v>0.49457142857142855</v>
      </c>
    </row>
    <row r="329" spans="1:10" s="54" customFormat="1" ht="12.75">
      <c r="A329" s="138"/>
      <c r="B329" s="138"/>
      <c r="C329" s="150" t="s">
        <v>163</v>
      </c>
      <c r="D329" s="174" t="str">
        <f>IF(A329&gt;0,(LOOKUP(A329,'[1]Dz.'!A:A,'[1]Dz.'!B:B)),(IF(B329&gt;0,(LOOKUP(B329,'[1]Roz.'!A:A,'[1]Roz.'!B:B)),(IF(C329&gt;0,(LOOKUP(C329,'[1]par.'!A:A,'[1]par.'!B:B)),0)))))</f>
        <v>Wynagrodzenia osobowe pracowników</v>
      </c>
      <c r="E329" s="195">
        <v>151200</v>
      </c>
      <c r="F329" s="195"/>
      <c r="G329" s="195"/>
      <c r="H329" s="195">
        <f t="shared" si="16"/>
        <v>151200</v>
      </c>
      <c r="I329" s="262">
        <v>73479.17</v>
      </c>
      <c r="J329" s="223">
        <f t="shared" si="18"/>
        <v>0.48597334656084656</v>
      </c>
    </row>
    <row r="330" spans="1:10" s="54" customFormat="1" ht="12.75">
      <c r="A330" s="138"/>
      <c r="B330" s="138"/>
      <c r="C330" s="150" t="s">
        <v>164</v>
      </c>
      <c r="D330" s="174" t="str">
        <f>IF(A330&gt;0,(LOOKUP(A330,'[1]Dz.'!A:A,'[1]Dz.'!B:B)),(IF(B330&gt;0,(LOOKUP(B330,'[1]Roz.'!A:A,'[1]Roz.'!B:B)),(IF(C330&gt;0,(LOOKUP(C330,'[1]par.'!A:A,'[1]par.'!B:B)),0)))))</f>
        <v>Dodatkowe wynagrodzenie roczne</v>
      </c>
      <c r="E330" s="195">
        <v>12944</v>
      </c>
      <c r="F330" s="195"/>
      <c r="G330" s="195"/>
      <c r="H330" s="195">
        <f t="shared" si="16"/>
        <v>12944</v>
      </c>
      <c r="I330" s="262">
        <v>12288.18</v>
      </c>
      <c r="J330" s="223">
        <f t="shared" si="18"/>
        <v>0.9493340543881336</v>
      </c>
    </row>
    <row r="331" spans="1:10" s="54" customFormat="1" ht="12.75">
      <c r="A331" s="138"/>
      <c r="B331" s="138"/>
      <c r="C331" s="150" t="s">
        <v>165</v>
      </c>
      <c r="D331" s="174" t="str">
        <f>IF(A331&gt;0,(LOOKUP(A331,'[1]Dz.'!A:A,'[1]Dz.'!B:B)),(IF(B331&gt;0,(LOOKUP(B331,'[1]Roz.'!A:A,'[1]Roz.'!B:B)),(IF(C331&gt;0,(LOOKUP(C331,'[1]par.'!A:A,'[1]par.'!B:B)),0)))))</f>
        <v>Składki na ubezpieczenia społeczne</v>
      </c>
      <c r="E331" s="195">
        <v>29858</v>
      </c>
      <c r="F331" s="195"/>
      <c r="G331" s="195"/>
      <c r="H331" s="195">
        <f t="shared" si="16"/>
        <v>29858</v>
      </c>
      <c r="I331" s="262">
        <v>15658.61</v>
      </c>
      <c r="J331" s="223">
        <f t="shared" si="18"/>
        <v>0.5244359970527163</v>
      </c>
    </row>
    <row r="332" spans="1:10" s="54" customFormat="1" ht="12.75">
      <c r="A332" s="138"/>
      <c r="B332" s="138"/>
      <c r="C332" s="150" t="s">
        <v>166</v>
      </c>
      <c r="D332" s="174" t="str">
        <f>IF(A332&gt;0,(LOOKUP(A332,'[1]Dz.'!A:A,'[1]Dz.'!B:B)),(IF(B332&gt;0,(LOOKUP(B332,'[1]Roz.'!A:A,'[1]Roz.'!B:B)),(IF(C332&gt;0,(LOOKUP(C332,'[1]par.'!A:A,'[1]par.'!B:B)),0)))))</f>
        <v>Składki na Fundusz Pracy</v>
      </c>
      <c r="E332" s="195">
        <v>4021</v>
      </c>
      <c r="F332" s="195"/>
      <c r="G332" s="195"/>
      <c r="H332" s="195">
        <f t="shared" si="16"/>
        <v>4021</v>
      </c>
      <c r="I332" s="262">
        <v>2036.15</v>
      </c>
      <c r="J332" s="223">
        <f t="shared" si="18"/>
        <v>0.5063790101964686</v>
      </c>
    </row>
    <row r="333" spans="1:10" s="54" customFormat="1" ht="12.75">
      <c r="A333" s="138"/>
      <c r="B333" s="138"/>
      <c r="C333" s="150" t="s">
        <v>156</v>
      </c>
      <c r="D333" s="174" t="str">
        <f>IF(A333&gt;0,(LOOKUP(A333,'[1]Dz.'!A:A,'[1]Dz.'!B:B)),(IF(B333&gt;0,(LOOKUP(B333,'[1]Roz.'!A:A,'[1]Roz.'!B:B)),(IF(C333&gt;0,(LOOKUP(C333,'[1]par.'!A:A,'[1]par.'!B:B)),0)))))</f>
        <v>Zakup materiałów i wyposażenia</v>
      </c>
      <c r="E333" s="195">
        <v>4829</v>
      </c>
      <c r="F333" s="195"/>
      <c r="G333" s="195">
        <f>1000+100</f>
        <v>1100</v>
      </c>
      <c r="H333" s="195">
        <f t="shared" si="16"/>
        <v>3729</v>
      </c>
      <c r="I333" s="262">
        <v>426.11</v>
      </c>
      <c r="J333" s="223">
        <f t="shared" si="18"/>
        <v>0.11426924108340038</v>
      </c>
    </row>
    <row r="334" spans="1:10" s="54" customFormat="1" ht="12.75">
      <c r="A334" s="138"/>
      <c r="B334" s="138"/>
      <c r="C334" s="150" t="s">
        <v>170</v>
      </c>
      <c r="D334" s="174" t="str">
        <f>IF(A334&gt;0,(LOOKUP(A334,'[1]Dz.'!A:A,'[1]Dz.'!B:B)),(IF(B334&gt;0,(LOOKUP(B334,'[1]Roz.'!A:A,'[1]Roz.'!B:B)),(IF(C334&gt;0,(LOOKUP(C334,'[1]par.'!A:A,'[1]par.'!B:B)),0)))))</f>
        <v>Zakup usług remontowych</v>
      </c>
      <c r="E334" s="195">
        <v>300</v>
      </c>
      <c r="F334" s="195"/>
      <c r="G334" s="195"/>
      <c r="H334" s="195">
        <f t="shared" si="16"/>
        <v>300</v>
      </c>
      <c r="I334" s="262">
        <v>40</v>
      </c>
      <c r="J334" s="223">
        <f t="shared" si="18"/>
        <v>0.13333333333333333</v>
      </c>
    </row>
    <row r="335" spans="1:10" s="54" customFormat="1" ht="12.75">
      <c r="A335" s="138"/>
      <c r="B335" s="138"/>
      <c r="C335" s="150" t="s">
        <v>194</v>
      </c>
      <c r="D335" s="174" t="str">
        <f>IF(A335&gt;0,(LOOKUP(A335,'[1]Dz.'!A:A,'[1]Dz.'!B:B)),(IF(B335&gt;0,(LOOKUP(B335,'[1]Roz.'!A:A,'[1]Roz.'!B:B)),(IF(C335&gt;0,(LOOKUP(C335,'[1]par.'!A:A,'[1]par.'!B:B)),0)))))</f>
        <v>Zakup usług zdrowotnych</v>
      </c>
      <c r="E335" s="195">
        <v>60</v>
      </c>
      <c r="F335" s="195">
        <v>100</v>
      </c>
      <c r="G335" s="195"/>
      <c r="H335" s="195">
        <f t="shared" si="16"/>
        <v>160</v>
      </c>
      <c r="I335" s="262">
        <v>140</v>
      </c>
      <c r="J335" s="223">
        <f t="shared" si="18"/>
        <v>0.875</v>
      </c>
    </row>
    <row r="336" spans="1:10" s="54" customFormat="1" ht="12.75">
      <c r="A336" s="138"/>
      <c r="B336" s="138"/>
      <c r="C336" s="150" t="s">
        <v>157</v>
      </c>
      <c r="D336" s="174" t="str">
        <f>IF(A336&gt;0,(LOOKUP(A336,'[1]Dz.'!A:A,'[1]Dz.'!B:B)),(IF(B336&gt;0,(LOOKUP(B336,'[1]Roz.'!A:A,'[1]Roz.'!B:B)),(IF(C336&gt;0,(LOOKUP(C336,'[1]par.'!A:A,'[1]par.'!B:B)),0)))))</f>
        <v>Zakup usług pozostałych</v>
      </c>
      <c r="E336" s="195">
        <v>4698</v>
      </c>
      <c r="F336" s="195"/>
      <c r="G336" s="195">
        <v>1070</v>
      </c>
      <c r="H336" s="195">
        <f t="shared" si="16"/>
        <v>3628</v>
      </c>
      <c r="I336" s="262">
        <v>1480.34</v>
      </c>
      <c r="J336" s="223">
        <f t="shared" si="18"/>
        <v>0.40803197353914</v>
      </c>
    </row>
    <row r="337" spans="1:10" s="54" customFormat="1" ht="12.75">
      <c r="A337" s="138"/>
      <c r="B337" s="138"/>
      <c r="C337" s="150" t="s">
        <v>171</v>
      </c>
      <c r="D337" s="174" t="str">
        <f>IF(A337&gt;0,(LOOKUP(A337,'[1]Dz.'!A:A,'[1]Dz.'!B:B)),(IF(B337&gt;0,(LOOKUP(B337,'[1]Roz.'!A:A,'[1]Roz.'!B:B)),(IF(C337&gt;0,(LOOKUP(C337,'[1]par.'!A:A,'[1]par.'!B:B)),0)))))</f>
        <v>Zakup dostępu do sieci internet</v>
      </c>
      <c r="E337" s="195">
        <v>840</v>
      </c>
      <c r="F337" s="195"/>
      <c r="G337" s="195"/>
      <c r="H337" s="195">
        <f t="shared" si="16"/>
        <v>840</v>
      </c>
      <c r="I337" s="262">
        <v>236.98</v>
      </c>
      <c r="J337" s="223">
        <f t="shared" si="18"/>
        <v>0.2821190476190476</v>
      </c>
    </row>
    <row r="338" spans="1:10" s="54" customFormat="1" ht="38.25">
      <c r="A338" s="138"/>
      <c r="B338" s="138"/>
      <c r="C338" s="150" t="s">
        <v>173</v>
      </c>
      <c r="D338" s="174" t="str">
        <f>IF(A338&gt;0,(LOOKUP(A338,'[1]Dz.'!A:A,'[1]Dz.'!B:B)),(IF(B338&gt;0,(LOOKUP(B338,'[1]Roz.'!A:A,'[1]Roz.'!B:B)),(IF(C338&gt;0,(LOOKUP(C338,'[1]par.'!A:A,'[1]par.'!B:B)),0)))))</f>
        <v>Opłaty z tytułu zakupu usług telekomunikacyjnych telefonii stacjonarnej</v>
      </c>
      <c r="E338" s="195">
        <v>7200</v>
      </c>
      <c r="F338" s="195"/>
      <c r="G338" s="195"/>
      <c r="H338" s="195">
        <f t="shared" si="16"/>
        <v>7200</v>
      </c>
      <c r="I338" s="262">
        <v>2828.7</v>
      </c>
      <c r="J338" s="223">
        <f t="shared" si="18"/>
        <v>0.392875</v>
      </c>
    </row>
    <row r="339" spans="1:10" s="54" customFormat="1" ht="25.5">
      <c r="A339" s="138"/>
      <c r="B339" s="138"/>
      <c r="C339" s="150" t="s">
        <v>189</v>
      </c>
      <c r="D339" s="174" t="str">
        <f>IF(A339&gt;0,(LOOKUP(A339,'[1]Dz.'!A:A,'[1]Dz.'!B:B)),(IF(B339&gt;0,(LOOKUP(B339,'[1]Roz.'!A:A,'[1]Roz.'!B:B)),(IF(C339&gt;0,(LOOKUP(C339,'[1]par.'!A:A,'[1]par.'!B:B)),0)))))</f>
        <v>Opłaty czynszowe za pomieszczenia biurowe</v>
      </c>
      <c r="E339" s="195">
        <v>24444</v>
      </c>
      <c r="F339" s="195"/>
      <c r="G339" s="195"/>
      <c r="H339" s="195">
        <f t="shared" si="16"/>
        <v>24444</v>
      </c>
      <c r="I339" s="262">
        <v>12625.14</v>
      </c>
      <c r="J339" s="223">
        <f t="shared" si="18"/>
        <v>0.5164923907707413</v>
      </c>
    </row>
    <row r="340" spans="1:10" s="54" customFormat="1" ht="12.75">
      <c r="A340" s="138"/>
      <c r="B340" s="138"/>
      <c r="C340" s="150" t="s">
        <v>174</v>
      </c>
      <c r="D340" s="174" t="str">
        <f>IF(A340&gt;0,(LOOKUP(A340,'[1]Dz.'!A:A,'[1]Dz.'!B:B)),(IF(B340&gt;0,(LOOKUP(B340,'[1]Roz.'!A:A,'[1]Roz.'!B:B)),(IF(C340&gt;0,(LOOKUP(C340,'[1]par.'!A:A,'[1]par.'!B:B)),0)))))</f>
        <v>Podróże służbowe krajowe</v>
      </c>
      <c r="E340" s="195">
        <v>1200</v>
      </c>
      <c r="F340" s="195"/>
      <c r="G340" s="195"/>
      <c r="H340" s="195">
        <f t="shared" si="16"/>
        <v>1200</v>
      </c>
      <c r="I340" s="262">
        <v>647.58</v>
      </c>
      <c r="J340" s="223">
        <f t="shared" si="18"/>
        <v>0.5396500000000001</v>
      </c>
    </row>
    <row r="341" spans="1:10" s="54" customFormat="1" ht="12.75">
      <c r="A341" s="138"/>
      <c r="B341" s="138"/>
      <c r="C341" s="150" t="s">
        <v>175</v>
      </c>
      <c r="D341" s="174" t="str">
        <f>IF(A341&gt;0,(LOOKUP(A341,'[1]Dz.'!A:A,'[1]Dz.'!B:B)),(IF(B341&gt;0,(LOOKUP(B341,'[1]Roz.'!A:A,'[1]Roz.'!B:B)),(IF(C341&gt;0,(LOOKUP(C341,'[1]par.'!A:A,'[1]par.'!B:B)),0)))))</f>
        <v>Różne opłaty i składki</v>
      </c>
      <c r="E341" s="195">
        <v>375</v>
      </c>
      <c r="F341" s="195">
        <v>300</v>
      </c>
      <c r="G341" s="195"/>
      <c r="H341" s="195">
        <f t="shared" si="16"/>
        <v>675</v>
      </c>
      <c r="I341" s="262">
        <v>404</v>
      </c>
      <c r="J341" s="223">
        <f t="shared" si="18"/>
        <v>0.5985185185185186</v>
      </c>
    </row>
    <row r="342" spans="1:10" s="54" customFormat="1" ht="25.5">
      <c r="A342" s="138"/>
      <c r="B342" s="138"/>
      <c r="C342" s="150" t="s">
        <v>176</v>
      </c>
      <c r="D342" s="174" t="str">
        <f>IF(A342&gt;0,(LOOKUP(A342,'[1]Dz.'!A:A,'[1]Dz.'!B:B)),(IF(B342&gt;0,(LOOKUP(B342,'[1]Roz.'!A:A,'[1]Roz.'!B:B)),(IF(C342&gt;0,(LOOKUP(C342,'[1]par.'!A:A,'[1]par.'!B:B)),0)))))</f>
        <v>Odpisy na zakladowy fundusz świadczeń socjalnych</v>
      </c>
      <c r="E342" s="195">
        <v>4331</v>
      </c>
      <c r="F342" s="195"/>
      <c r="G342" s="195"/>
      <c r="H342" s="195">
        <f t="shared" si="16"/>
        <v>4331</v>
      </c>
      <c r="I342" s="262">
        <v>3249</v>
      </c>
      <c r="J342" s="223">
        <f t="shared" si="18"/>
        <v>0.7501731701685523</v>
      </c>
    </row>
    <row r="343" spans="1:10" s="54" customFormat="1" ht="16.5" customHeight="1">
      <c r="A343" s="138"/>
      <c r="B343" s="138"/>
      <c r="C343" s="150" t="s">
        <v>180</v>
      </c>
      <c r="D343" s="139" t="str">
        <f>IF(A343&gt;0,(LOOKUP(A343,'[1]Dz.'!A:A,'[1]Dz.'!B:B)),(IF(B343&gt;0,(LOOKUP(B343,'[1]Roz.'!A:A,'[1]Roz.'!B:B)),(IF(C343&gt;0,(LOOKUP(C343,'[1]par.'!A:A,'[1]par.'!B:B)),0)))))</f>
        <v>Szkolenia pracowników</v>
      </c>
      <c r="E343" s="194"/>
      <c r="F343" s="195">
        <v>1700</v>
      </c>
      <c r="G343" s="195"/>
      <c r="H343" s="195">
        <f>E343+F343-G343</f>
        <v>1700</v>
      </c>
      <c r="I343" s="262">
        <v>234.4</v>
      </c>
      <c r="J343" s="223">
        <f t="shared" si="18"/>
        <v>0.13788235294117648</v>
      </c>
    </row>
    <row r="344" spans="1:10" s="54" customFormat="1" ht="38.25">
      <c r="A344" s="138"/>
      <c r="B344" s="138"/>
      <c r="C344" s="150" t="s">
        <v>181</v>
      </c>
      <c r="D344" s="174" t="str">
        <f>IF(A344&gt;0,(LOOKUP(A344,'[1]Dz.'!A:A,'[1]Dz.'!B:B)),(IF(B344&gt;0,(LOOKUP(B344,'[1]Roz.'!A:A,'[1]Roz.'!B:B)),(IF(C344&gt;0,(LOOKUP(C344,'[1]par.'!A:A,'[1]par.'!B:B)),0)))))</f>
        <v>Zakup materiałów papierniczych do sprzętu drukarskego i urządzeń kserograficznych</v>
      </c>
      <c r="E344" s="195">
        <v>1200</v>
      </c>
      <c r="F344" s="195">
        <v>1700</v>
      </c>
      <c r="G344" s="195">
        <v>1700</v>
      </c>
      <c r="H344" s="195">
        <f>E344+F344-G344</f>
        <v>1200</v>
      </c>
      <c r="I344" s="262">
        <v>11.2</v>
      </c>
      <c r="J344" s="223">
        <f t="shared" si="18"/>
        <v>0.009333333333333332</v>
      </c>
    </row>
    <row r="345" spans="1:10" s="54" customFormat="1" ht="25.5">
      <c r="A345" s="138"/>
      <c r="B345" s="138"/>
      <c r="C345" s="150" t="s">
        <v>182</v>
      </c>
      <c r="D345" s="174" t="str">
        <f>IF(A345&gt;0,(LOOKUP(A345,'[1]Dz.'!A:A,'[1]Dz.'!B:B)),(IF(B345&gt;0,(LOOKUP(B345,'[1]Roz.'!A:A,'[1]Roz.'!B:B)),(IF(C345&gt;0,(LOOKUP(C345,'[1]par.'!A:A,'[1]par.'!B:B)),0)))))</f>
        <v>Zakup akcesoriów komputerowych, w tym programów i licencji</v>
      </c>
      <c r="E345" s="195">
        <v>1500</v>
      </c>
      <c r="F345" s="195"/>
      <c r="G345" s="195"/>
      <c r="H345" s="195">
        <f>E345+F345-G345</f>
        <v>1500</v>
      </c>
      <c r="I345" s="262"/>
      <c r="J345" s="223">
        <f t="shared" si="18"/>
        <v>0</v>
      </c>
    </row>
    <row r="346" spans="1:10" s="137" customFormat="1" ht="38.25" hidden="1">
      <c r="A346" s="134"/>
      <c r="B346" s="135" t="s">
        <v>247</v>
      </c>
      <c r="C346" s="157"/>
      <c r="D346" s="175" t="str">
        <f>IF(A346&gt;0,(LOOKUP(A346,'[1]Dz.'!A:A,'[1]Dz.'!B:B)),(IF(B346&gt;0,(LOOKUP(B346,'[1]Roz.'!A:A,'[1]Roz.'!B:B)),(IF(C346&gt;0,(LOOKUP(C346,'[1]par.'!A:A,'[1]par.'!B:B)),0)))))</f>
        <v>Jednostki specjalistycznego poradnictwa, mieszkania chronione i ośrodki interwencji kryzysowej</v>
      </c>
      <c r="E346" s="192">
        <v>0</v>
      </c>
      <c r="F346" s="192"/>
      <c r="G346" s="192"/>
      <c r="H346" s="192">
        <f aca="true" t="shared" si="19" ref="H346:H412">E346+F346-G346</f>
        <v>0</v>
      </c>
      <c r="I346" s="265"/>
      <c r="J346" s="226" t="e">
        <f t="shared" si="18"/>
        <v>#DIV/0!</v>
      </c>
    </row>
    <row r="347" spans="1:10" s="54" customFormat="1" ht="12.75" hidden="1">
      <c r="A347" s="138"/>
      <c r="B347" s="138"/>
      <c r="C347" s="158" t="s">
        <v>170</v>
      </c>
      <c r="D347" s="174" t="str">
        <f>IF(A347&gt;0,(LOOKUP(A347,'[1]Dz.'!A:A,'[1]Dz.'!B:B)),(IF(B347&gt;0,(LOOKUP(B347,'[1]Roz.'!A:A,'[1]Roz.'!B:B)),(IF(C347&gt;0,(LOOKUP(C347,'[1]par.'!A:A,'[1]par.'!B:B)),0)))))</f>
        <v>Zakup usług remontowych</v>
      </c>
      <c r="E347" s="195">
        <v>0</v>
      </c>
      <c r="F347" s="195"/>
      <c r="G347" s="195"/>
      <c r="H347" s="195">
        <f t="shared" si="19"/>
        <v>0</v>
      </c>
      <c r="I347" s="262"/>
      <c r="J347" s="223" t="e">
        <f t="shared" si="18"/>
        <v>#DIV/0!</v>
      </c>
    </row>
    <row r="348" spans="1:10" s="137" customFormat="1" ht="12.75">
      <c r="A348" s="134"/>
      <c r="B348" s="135" t="s">
        <v>130</v>
      </c>
      <c r="C348" s="157"/>
      <c r="D348" s="175" t="str">
        <f>IF(A348&gt;0,(LOOKUP(A348,'[1]Dz.'!A:A,'[1]Dz.'!B:B)),(IF(B348&gt;0,(LOOKUP(B348,'[1]Roz.'!A:A,'[1]Roz.'!B:B)),(IF(C348&gt;0,(LOOKUP(C348,'[1]par.'!A:A,'[1]par.'!B:B)),0)))))</f>
        <v>Ośrodki adopcyjno-opiekuńcze</v>
      </c>
      <c r="E348" s="192">
        <f>SUM(E349:E359)</f>
        <v>13000</v>
      </c>
      <c r="F348" s="192">
        <f>SUM(F349:F359)</f>
        <v>0</v>
      </c>
      <c r="G348" s="192">
        <f>SUM(G349:G359)</f>
        <v>0</v>
      </c>
      <c r="H348" s="192">
        <f t="shared" si="19"/>
        <v>13000</v>
      </c>
      <c r="I348" s="265">
        <f>SUM(I349:I359)</f>
        <v>878.39</v>
      </c>
      <c r="J348" s="226">
        <f t="shared" si="18"/>
        <v>0.06756846153846154</v>
      </c>
    </row>
    <row r="349" spans="1:10" s="54" customFormat="1" ht="12.75">
      <c r="A349" s="138"/>
      <c r="B349" s="138"/>
      <c r="C349" s="150" t="s">
        <v>163</v>
      </c>
      <c r="D349" s="174" t="str">
        <f>IF(A349&gt;0,(LOOKUP(A349,'[1]Dz.'!A:A,'[1]Dz.'!B:B)),(IF(B349&gt;0,(LOOKUP(B349,'[1]Roz.'!A:A,'[1]Roz.'!B:B)),(IF(C349&gt;0,(LOOKUP(C349,'[1]par.'!A:A,'[1]par.'!B:B)),0)))))</f>
        <v>Wynagrodzenia osobowe pracowników</v>
      </c>
      <c r="E349" s="195">
        <v>7296</v>
      </c>
      <c r="F349" s="195"/>
      <c r="G349" s="195"/>
      <c r="H349" s="195">
        <f>E349+F349-G349</f>
        <v>7296</v>
      </c>
      <c r="I349" s="262"/>
      <c r="J349" s="223">
        <f t="shared" si="18"/>
        <v>0</v>
      </c>
    </row>
    <row r="350" spans="1:10" s="54" customFormat="1" ht="12.75" hidden="1">
      <c r="A350" s="138"/>
      <c r="B350" s="138"/>
      <c r="C350" s="158" t="s">
        <v>163</v>
      </c>
      <c r="D350" s="174" t="str">
        <f>IF(A350&gt;0,(LOOKUP(A350,'[1]Dz.'!A:A,'[1]Dz.'!B:B)),(IF(B350&gt;0,(LOOKUP(B350,'[1]Roz.'!A:A,'[1]Roz.'!B:B)),(IF(C350&gt;0,(LOOKUP(C350,'[1]par.'!A:A,'[1]par.'!B:B)),0)))))</f>
        <v>Wynagrodzenia osobowe pracowników</v>
      </c>
      <c r="E350" s="195">
        <v>0</v>
      </c>
      <c r="F350" s="195"/>
      <c r="G350" s="195"/>
      <c r="H350" s="195">
        <f t="shared" si="19"/>
        <v>0</v>
      </c>
      <c r="I350" s="262"/>
      <c r="J350" s="223" t="e">
        <f t="shared" si="18"/>
        <v>#DIV/0!</v>
      </c>
    </row>
    <row r="351" spans="1:10" s="54" customFormat="1" ht="12.75" hidden="1">
      <c r="A351" s="138"/>
      <c r="B351" s="138"/>
      <c r="C351" s="158" t="s">
        <v>164</v>
      </c>
      <c r="D351" s="174" t="str">
        <f>IF(A351&gt;0,(LOOKUP(A351,'[1]Dz.'!A:A,'[1]Dz.'!B:B)),(IF(B351&gt;0,(LOOKUP(B351,'[1]Roz.'!A:A,'[1]Roz.'!B:B)),(IF(C351&gt;0,(LOOKUP(C351,'[1]par.'!A:A,'[1]par.'!B:B)),0)))))</f>
        <v>Dodatkowe wynagrodzenie roczne</v>
      </c>
      <c r="E351" s="195">
        <v>0</v>
      </c>
      <c r="F351" s="195"/>
      <c r="G351" s="195"/>
      <c r="H351" s="195">
        <f t="shared" si="19"/>
        <v>0</v>
      </c>
      <c r="I351" s="262"/>
      <c r="J351" s="223" t="e">
        <f t="shared" si="18"/>
        <v>#DIV/0!</v>
      </c>
    </row>
    <row r="352" spans="1:10" s="54" customFormat="1" ht="12.75">
      <c r="A352" s="138"/>
      <c r="B352" s="138"/>
      <c r="C352" s="158" t="s">
        <v>165</v>
      </c>
      <c r="D352" s="174" t="str">
        <f>IF(A352&gt;0,(LOOKUP(A352,'[1]Dz.'!A:A,'[1]Dz.'!B:B)),(IF(B352&gt;0,(LOOKUP(B352,'[1]Roz.'!A:A,'[1]Roz.'!B:B)),(IF(C352&gt;0,(LOOKUP(C352,'[1]par.'!A:A,'[1]par.'!B:B)),0)))))</f>
        <v>Składki na ubezpieczenia społeczne</v>
      </c>
      <c r="E352" s="195">
        <v>1318</v>
      </c>
      <c r="F352" s="195"/>
      <c r="G352" s="195"/>
      <c r="H352" s="195">
        <f t="shared" si="19"/>
        <v>1318</v>
      </c>
      <c r="I352" s="262"/>
      <c r="J352" s="223">
        <f t="shared" si="18"/>
        <v>0</v>
      </c>
    </row>
    <row r="353" spans="1:10" s="54" customFormat="1" ht="12.75">
      <c r="A353" s="138"/>
      <c r="B353" s="138"/>
      <c r="C353" s="158" t="s">
        <v>166</v>
      </c>
      <c r="D353" s="174" t="str">
        <f>IF(A353&gt;0,(LOOKUP(A353,'[1]Dz.'!A:A,'[1]Dz.'!B:B)),(IF(B353&gt;0,(LOOKUP(B353,'[1]Roz.'!A:A,'[1]Roz.'!B:B)),(IF(C353&gt;0,(LOOKUP(C353,'[1]par.'!A:A,'[1]par.'!B:B)),0)))))</f>
        <v>Składki na Fundusz Pracy</v>
      </c>
      <c r="E353" s="195">
        <v>268</v>
      </c>
      <c r="F353" s="195"/>
      <c r="G353" s="195"/>
      <c r="H353" s="195">
        <f t="shared" si="19"/>
        <v>268</v>
      </c>
      <c r="I353" s="262"/>
      <c r="J353" s="223">
        <f t="shared" si="18"/>
        <v>0</v>
      </c>
    </row>
    <row r="354" spans="1:10" s="54" customFormat="1" ht="12.75" hidden="1">
      <c r="A354" s="138"/>
      <c r="B354" s="138"/>
      <c r="C354" s="158" t="s">
        <v>168</v>
      </c>
      <c r="D354" s="174" t="str">
        <f>IF(A354&gt;0,(LOOKUP(A354,'[1]Dz.'!A:A,'[1]Dz.'!B:B)),(IF(B354&gt;0,(LOOKUP(B354,'[1]Roz.'!A:A,'[1]Roz.'!B:B)),(IF(C354&gt;0,(LOOKUP(C354,'[1]par.'!A:A,'[1]par.'!B:B)),0)))))</f>
        <v>Wynagrodzenia bezosobowe</v>
      </c>
      <c r="E354" s="195">
        <v>0</v>
      </c>
      <c r="F354" s="195"/>
      <c r="G354" s="195"/>
      <c r="H354" s="195">
        <f t="shared" si="19"/>
        <v>0</v>
      </c>
      <c r="I354" s="262"/>
      <c r="J354" s="223" t="e">
        <f t="shared" si="18"/>
        <v>#DIV/0!</v>
      </c>
    </row>
    <row r="355" spans="1:10" s="54" customFormat="1" ht="12.75">
      <c r="A355" s="138"/>
      <c r="B355" s="138"/>
      <c r="C355" s="158" t="s">
        <v>156</v>
      </c>
      <c r="D355" s="174" t="str">
        <f>IF(A355&gt;0,(LOOKUP(A355,'[1]Dz.'!A:A,'[1]Dz.'!B:B)),(IF(B355&gt;0,(LOOKUP(B355,'[1]Roz.'!A:A,'[1]Roz.'!B:B)),(IF(C355&gt;0,(LOOKUP(C355,'[1]par.'!A:A,'[1]par.'!B:B)),0)))))</f>
        <v>Zakup materiałów i wyposażenia</v>
      </c>
      <c r="E355" s="195">
        <v>1590</v>
      </c>
      <c r="F355" s="195"/>
      <c r="G355" s="195"/>
      <c r="H355" s="195">
        <f t="shared" si="19"/>
        <v>1590</v>
      </c>
      <c r="I355" s="262"/>
      <c r="J355" s="223">
        <f t="shared" si="18"/>
        <v>0</v>
      </c>
    </row>
    <row r="356" spans="1:10" s="54" customFormat="1" ht="12.75">
      <c r="A356" s="138"/>
      <c r="B356" s="138"/>
      <c r="C356" s="158" t="s">
        <v>157</v>
      </c>
      <c r="D356" s="174" t="str">
        <f>IF(A356&gt;0,(LOOKUP(A356,'[1]Dz.'!A:A,'[1]Dz.'!B:B)),(IF(B356&gt;0,(LOOKUP(B356,'[1]Roz.'!A:A,'[1]Roz.'!B:B)),(IF(C356&gt;0,(LOOKUP(C356,'[1]par.'!A:A,'[1]par.'!B:B)),0)))))</f>
        <v>Zakup usług pozostałych</v>
      </c>
      <c r="E356" s="195">
        <v>840</v>
      </c>
      <c r="F356" s="195"/>
      <c r="G356" s="195"/>
      <c r="H356" s="195">
        <f t="shared" si="19"/>
        <v>840</v>
      </c>
      <c r="I356" s="262"/>
      <c r="J356" s="223">
        <f t="shared" si="18"/>
        <v>0</v>
      </c>
    </row>
    <row r="357" spans="1:10" s="54" customFormat="1" ht="38.25">
      <c r="A357" s="138"/>
      <c r="B357" s="138"/>
      <c r="C357" s="150" t="s">
        <v>173</v>
      </c>
      <c r="D357" s="174" t="str">
        <f>IF(A357&gt;0,(LOOKUP(A357,'[1]Dz.'!A:A,'[1]Dz.'!B:B)),(IF(B357&gt;0,(LOOKUP(B357,'[1]Roz.'!A:A,'[1]Roz.'!B:B)),(IF(C357&gt;0,(LOOKUP(C357,'[1]par.'!A:A,'[1]par.'!B:B)),0)))))</f>
        <v>Opłaty z tytułu zakupu usług telekomunikacyjnych telefonii stacjonarnej</v>
      </c>
      <c r="E357" s="195">
        <v>600</v>
      </c>
      <c r="F357" s="195"/>
      <c r="G357" s="195"/>
      <c r="H357" s="195">
        <f t="shared" si="19"/>
        <v>600</v>
      </c>
      <c r="I357" s="262"/>
      <c r="J357" s="223">
        <f t="shared" si="18"/>
        <v>0</v>
      </c>
    </row>
    <row r="358" spans="1:10" s="54" customFormat="1" ht="12.75">
      <c r="A358" s="138"/>
      <c r="B358" s="138"/>
      <c r="C358" s="158" t="s">
        <v>174</v>
      </c>
      <c r="D358" s="174" t="str">
        <f>IF(A358&gt;0,(LOOKUP(A358,'[1]Dz.'!A:A,'[1]Dz.'!B:B)),(IF(B358&gt;0,(LOOKUP(B358,'[1]Roz.'!A:A,'[1]Roz.'!B:B)),(IF(C358&gt;0,(LOOKUP(C358,'[1]par.'!A:A,'[1]par.'!B:B)),0)))))</f>
        <v>Podróże służbowe krajowe</v>
      </c>
      <c r="E358" s="195">
        <v>300</v>
      </c>
      <c r="F358" s="195"/>
      <c r="G358" s="195"/>
      <c r="H358" s="195">
        <f t="shared" si="19"/>
        <v>300</v>
      </c>
      <c r="I358" s="262">
        <v>287.39</v>
      </c>
      <c r="J358" s="223">
        <f t="shared" si="18"/>
        <v>0.9579666666666666</v>
      </c>
    </row>
    <row r="359" spans="1:10" s="54" customFormat="1" ht="25.5">
      <c r="A359" s="138"/>
      <c r="B359" s="138"/>
      <c r="C359" s="158" t="s">
        <v>176</v>
      </c>
      <c r="D359" s="174" t="str">
        <f>IF(A359&gt;0,(LOOKUP(A359,'[1]Dz.'!A:A,'[1]Dz.'!B:B)),(IF(B359&gt;0,(LOOKUP(B359,'[1]Roz.'!A:A,'[1]Roz.'!B:B)),(IF(C359&gt;0,(LOOKUP(C359,'[1]par.'!A:A,'[1]par.'!B:B)),0)))))</f>
        <v>Odpisy na zakladowy fundusz świadczeń socjalnych</v>
      </c>
      <c r="E359" s="195">
        <v>788</v>
      </c>
      <c r="F359" s="195"/>
      <c r="G359" s="195"/>
      <c r="H359" s="195">
        <f t="shared" si="19"/>
        <v>788</v>
      </c>
      <c r="I359" s="262">
        <v>591</v>
      </c>
      <c r="J359" s="223">
        <f t="shared" si="18"/>
        <v>0.75</v>
      </c>
    </row>
    <row r="360" spans="1:10" s="137" customFormat="1" ht="12.75">
      <c r="A360" s="134"/>
      <c r="B360" s="135" t="s">
        <v>132</v>
      </c>
      <c r="C360" s="157"/>
      <c r="D360" s="175" t="str">
        <f>IF(A360&gt;0,(LOOKUP(A360,'[1]Dz.'!A:A,'[1]Dz.'!B:B)),(IF(B360&gt;0,(LOOKUP(B360,'[1]Roz.'!A:A,'[1]Roz.'!B:B)),(IF(C360&gt;0,(LOOKUP(C360,'[1]par.'!A:A,'[1]par.'!B:B)),0)))))</f>
        <v>Pozostała działalność</v>
      </c>
      <c r="E360" s="192">
        <f>E361</f>
        <v>5000</v>
      </c>
      <c r="F360" s="192">
        <f>F361</f>
        <v>0</v>
      </c>
      <c r="G360" s="192">
        <f>G361</f>
        <v>0</v>
      </c>
      <c r="H360" s="192">
        <f t="shared" si="19"/>
        <v>5000</v>
      </c>
      <c r="I360" s="265">
        <f>I361</f>
        <v>3750</v>
      </c>
      <c r="J360" s="226">
        <f aca="true" t="shared" si="20" ref="J360:J391">I360/H360</f>
        <v>0.75</v>
      </c>
    </row>
    <row r="361" spans="1:10" s="54" customFormat="1" ht="25.5">
      <c r="A361" s="138"/>
      <c r="B361" s="138"/>
      <c r="C361" s="158" t="s">
        <v>176</v>
      </c>
      <c r="D361" s="174" t="str">
        <f>IF(A361&gt;0,(LOOKUP(A361,'[1]Dz.'!A:A,'[1]Dz.'!B:B)),(IF(B361&gt;0,(LOOKUP(B361,'[1]Roz.'!A:A,'[1]Roz.'!B:B)),(IF(C361&gt;0,(LOOKUP(C361,'[1]par.'!A:A,'[1]par.'!B:B)),0)))))</f>
        <v>Odpisy na zakladowy fundusz świadczeń socjalnych</v>
      </c>
      <c r="E361" s="195">
        <v>5000</v>
      </c>
      <c r="F361" s="195"/>
      <c r="G361" s="195"/>
      <c r="H361" s="195">
        <f t="shared" si="19"/>
        <v>5000</v>
      </c>
      <c r="I361" s="262">
        <v>3750</v>
      </c>
      <c r="J361" s="223">
        <f t="shared" si="20"/>
        <v>0.75</v>
      </c>
    </row>
    <row r="362" spans="1:10" s="137" customFormat="1" ht="25.5">
      <c r="A362" s="134"/>
      <c r="B362" s="135" t="s">
        <v>131</v>
      </c>
      <c r="C362" s="157"/>
      <c r="D362" s="175" t="str">
        <f>IF(A362&gt;0,(LOOKUP(A362,'[1]Dz.'!A:A,'[1]Dz.'!B:B)),(IF(B362&gt;0,(LOOKUP(B362,'[1]Roz.'!A:A,'[1]Roz.'!B:B)),(IF(C362&gt;0,(LOOKUP(C362,'[1]par.'!A:A,'[1]par.'!B:B)),0)))))</f>
        <v>Dokształcanie i doskonalenie nauczycieli</v>
      </c>
      <c r="E362" s="192">
        <f>E363</f>
        <v>5000</v>
      </c>
      <c r="F362" s="192">
        <f>F363</f>
        <v>5000</v>
      </c>
      <c r="G362" s="192">
        <f>G363</f>
        <v>5000</v>
      </c>
      <c r="H362" s="192">
        <f t="shared" si="19"/>
        <v>5000</v>
      </c>
      <c r="I362" s="265">
        <f>I363</f>
        <v>900</v>
      </c>
      <c r="J362" s="226">
        <f t="shared" si="20"/>
        <v>0.18</v>
      </c>
    </row>
    <row r="363" spans="1:10" s="54" customFormat="1" ht="12.75">
      <c r="A363" s="145"/>
      <c r="B363" s="145"/>
      <c r="C363" s="179" t="s">
        <v>157</v>
      </c>
      <c r="D363" s="180" t="str">
        <f>IF(A363&gt;0,(LOOKUP(A363,'[1]Dz.'!A:A,'[1]Dz.'!B:B)),(IF(B363&gt;0,(LOOKUP(B363,'[1]Roz.'!A:A,'[1]Roz.'!B:B)),(IF(C363&gt;0,(LOOKUP(C363,'[1]par.'!A:A,'[1]par.'!B:B)),0)))))</f>
        <v>Zakup usług pozostałych</v>
      </c>
      <c r="E363" s="199">
        <v>5000</v>
      </c>
      <c r="F363" s="199">
        <v>5000</v>
      </c>
      <c r="G363" s="199">
        <v>5000</v>
      </c>
      <c r="H363" s="199">
        <f t="shared" si="19"/>
        <v>5000</v>
      </c>
      <c r="I363" s="264">
        <v>900</v>
      </c>
      <c r="J363" s="225">
        <f t="shared" si="20"/>
        <v>0.18</v>
      </c>
    </row>
    <row r="364" spans="1:10" s="43" customFormat="1" ht="25.5">
      <c r="A364" s="41">
        <v>853</v>
      </c>
      <c r="B364" s="41"/>
      <c r="C364" s="41"/>
      <c r="D364" s="90" t="s">
        <v>84</v>
      </c>
      <c r="E364" s="190">
        <f>E367+E369+E388+E420+E422</f>
        <v>1046600</v>
      </c>
      <c r="F364" s="190">
        <f>F367+F369+F388+F420+F422</f>
        <v>469845</v>
      </c>
      <c r="G364" s="190">
        <f>G367+G369+G388+G420+G422</f>
        <v>100636</v>
      </c>
      <c r="H364" s="190">
        <f t="shared" si="19"/>
        <v>1415809</v>
      </c>
      <c r="I364" s="276">
        <f>I367+I369+I388+I420+I422</f>
        <v>634986.1299999999</v>
      </c>
      <c r="J364" s="237">
        <f t="shared" si="20"/>
        <v>0.4484970289071477</v>
      </c>
    </row>
    <row r="365" spans="1:10" s="137" customFormat="1" ht="25.5" hidden="1">
      <c r="A365" s="134"/>
      <c r="B365" s="135" t="s">
        <v>133</v>
      </c>
      <c r="C365" s="135"/>
      <c r="D365" s="175" t="str">
        <f>IF(A365&gt;0,(LOOKUP(A365,'[1]Dz.'!A:A,'[1]Dz.'!B:B)),(IF(B365&gt;0,(LOOKUP(B365,'[1]Roz.'!A:A,'[1]Roz.'!B:B)),(IF(C365&gt;0,(LOOKUP(C365,'[1]par.'!A:A,'[1]par.'!B:B)),0)))))</f>
        <v>Rehabilitacja zawodowa i społeczna osób niepełnosprawnych</v>
      </c>
      <c r="E365" s="192">
        <v>0</v>
      </c>
      <c r="F365" s="192"/>
      <c r="G365" s="192"/>
      <c r="H365" s="192">
        <f t="shared" si="19"/>
        <v>0</v>
      </c>
      <c r="I365" s="265"/>
      <c r="J365" s="226" t="e">
        <f t="shared" si="20"/>
        <v>#DIV/0!</v>
      </c>
    </row>
    <row r="366" spans="1:10" s="54" customFormat="1" ht="38.25" hidden="1">
      <c r="A366" s="138"/>
      <c r="B366" s="138"/>
      <c r="C366" s="138" t="s">
        <v>227</v>
      </c>
      <c r="D366" s="174" t="str">
        <f>IF(A366&gt;0,(LOOKUP(A366,'[1]Dz.'!A:A,'[1]Dz.'!B:B)),(IF(B366&gt;0,(LOOKUP(B366,'[1]Roz.'!A:A,'[1]Roz.'!B:B)),(IF(C366&gt;0,(LOOKUP(C366,'[1]par.'!A:A,'[1]par.'!B:B)),0)))))</f>
        <v>Dotacja celowa z budżetu na finansowanie lub dofinansowanie zada zleconych do realizacji stowarzyszeniom</v>
      </c>
      <c r="E366" s="195">
        <v>0</v>
      </c>
      <c r="F366" s="195"/>
      <c r="G366" s="195"/>
      <c r="H366" s="195">
        <f t="shared" si="19"/>
        <v>0</v>
      </c>
      <c r="I366" s="262"/>
      <c r="J366" s="223" t="e">
        <f t="shared" si="20"/>
        <v>#DIV/0!</v>
      </c>
    </row>
    <row r="367" spans="1:10" s="54" customFormat="1" ht="25.5">
      <c r="A367" s="134"/>
      <c r="B367" s="135">
        <v>85311</v>
      </c>
      <c r="C367" s="135"/>
      <c r="D367" s="175" t="s">
        <v>271</v>
      </c>
      <c r="E367" s="192">
        <f>E368</f>
        <v>0</v>
      </c>
      <c r="F367" s="192">
        <f>F368</f>
        <v>144262</v>
      </c>
      <c r="G367" s="192">
        <f>G368</f>
        <v>72131</v>
      </c>
      <c r="H367" s="192">
        <f>E367+F367-G367</f>
        <v>72131</v>
      </c>
      <c r="I367" s="265">
        <f>I368</f>
        <v>54131</v>
      </c>
      <c r="J367" s="226">
        <f t="shared" si="20"/>
        <v>0.750454035019617</v>
      </c>
    </row>
    <row r="368" spans="1:10" s="54" customFormat="1" ht="38.25">
      <c r="A368" s="138"/>
      <c r="B368" s="138"/>
      <c r="C368" s="177">
        <v>2580</v>
      </c>
      <c r="D368" s="178" t="s">
        <v>266</v>
      </c>
      <c r="E368" s="206"/>
      <c r="F368" s="206">
        <f>72131+72131</f>
        <v>144262</v>
      </c>
      <c r="G368" s="206">
        <v>72131</v>
      </c>
      <c r="H368" s="206">
        <f>E368+F368-G368</f>
        <v>72131</v>
      </c>
      <c r="I368" s="269">
        <v>54131</v>
      </c>
      <c r="J368" s="230">
        <f t="shared" si="20"/>
        <v>0.750454035019617</v>
      </c>
    </row>
    <row r="369" spans="1:10" s="137" customFormat="1" ht="25.5">
      <c r="A369" s="134"/>
      <c r="B369" s="135" t="s">
        <v>134</v>
      </c>
      <c r="C369" s="135"/>
      <c r="D369" s="175" t="str">
        <f>IF(A369&gt;0,(LOOKUP(A369,'[1]Dz.'!A:A,'[1]Dz.'!B:B)),(IF(B369&gt;0,(LOOKUP(B369,'[1]Roz.'!A:A,'[1]Roz.'!B:B)),(IF(C369&gt;0,(LOOKUP(C369,'[1]par.'!A:A,'[1]par.'!B:B)),0)))))</f>
        <v>Zespoły do spraw orzekania o stopniu niepełnosprawności</v>
      </c>
      <c r="E369" s="192">
        <f>SUM(E370:E387)</f>
        <v>91600</v>
      </c>
      <c r="F369" s="192">
        <f>SUM(F370:F387)</f>
        <v>31269</v>
      </c>
      <c r="G369" s="192">
        <f>SUM(G370:G387)</f>
        <v>11269</v>
      </c>
      <c r="H369" s="192">
        <f t="shared" si="19"/>
        <v>111600</v>
      </c>
      <c r="I369" s="265">
        <f>SUM(I370:I387)</f>
        <v>51027.25</v>
      </c>
      <c r="J369" s="226">
        <f t="shared" si="20"/>
        <v>0.4572334229390681</v>
      </c>
    </row>
    <row r="370" spans="1:10" s="54" customFormat="1" ht="12.75">
      <c r="A370" s="138"/>
      <c r="B370" s="138"/>
      <c r="C370" s="138" t="s">
        <v>163</v>
      </c>
      <c r="D370" s="174" t="str">
        <f>IF(A370&gt;0,(LOOKUP(A370,'[1]Dz.'!A:A,'[1]Dz.'!B:B)),(IF(B370&gt;0,(LOOKUP(B370,'[1]Roz.'!A:A,'[1]Roz.'!B:B)),(IF(C370&gt;0,(LOOKUP(C370,'[1]par.'!A:A,'[1]par.'!B:B)),0)))))</f>
        <v>Wynagrodzenia osobowe pracowników</v>
      </c>
      <c r="E370" s="195">
        <v>17680</v>
      </c>
      <c r="F370" s="195"/>
      <c r="G370" s="195"/>
      <c r="H370" s="195">
        <f t="shared" si="19"/>
        <v>17680</v>
      </c>
      <c r="I370" s="262">
        <v>8771.05</v>
      </c>
      <c r="J370" s="223">
        <f t="shared" si="20"/>
        <v>0.4961001131221719</v>
      </c>
    </row>
    <row r="371" spans="1:10" s="54" customFormat="1" ht="12.75">
      <c r="A371" s="138"/>
      <c r="B371" s="138"/>
      <c r="C371" s="138" t="s">
        <v>164</v>
      </c>
      <c r="D371" s="174" t="str">
        <f>IF(A371&gt;0,(LOOKUP(A371,'[1]Dz.'!A:A,'[1]Dz.'!B:B)),(IF(B371&gt;0,(LOOKUP(B371,'[1]Roz.'!A:A,'[1]Roz.'!B:B)),(IF(C371&gt;0,(LOOKUP(C371,'[1]par.'!A:A,'[1]par.'!B:B)),0)))))</f>
        <v>Dodatkowe wynagrodzenie roczne</v>
      </c>
      <c r="E371" s="195">
        <v>2556</v>
      </c>
      <c r="F371" s="195"/>
      <c r="G371" s="195"/>
      <c r="H371" s="195">
        <f>E371+F371-G371</f>
        <v>2556</v>
      </c>
      <c r="I371" s="262">
        <v>2555.61</v>
      </c>
      <c r="J371" s="223">
        <f t="shared" si="20"/>
        <v>0.9998474178403757</v>
      </c>
    </row>
    <row r="372" spans="1:10" s="54" customFormat="1" ht="12.75">
      <c r="A372" s="138"/>
      <c r="B372" s="138"/>
      <c r="C372" s="138" t="s">
        <v>165</v>
      </c>
      <c r="D372" s="174" t="str">
        <f>IF(A372&gt;0,(LOOKUP(A372,'[1]Dz.'!A:A,'[1]Dz.'!B:B)),(IF(B372&gt;0,(LOOKUP(B372,'[1]Roz.'!A:A,'[1]Roz.'!B:B)),(IF(C372&gt;0,(LOOKUP(C372,'[1]par.'!A:A,'[1]par.'!B:B)),0)))))</f>
        <v>Składki na ubezpieczenia społeczne</v>
      </c>
      <c r="E372" s="195">
        <v>3681</v>
      </c>
      <c r="F372" s="195"/>
      <c r="G372" s="195"/>
      <c r="H372" s="195">
        <f t="shared" si="19"/>
        <v>3681</v>
      </c>
      <c r="I372" s="262">
        <v>2137.17</v>
      </c>
      <c r="J372" s="223">
        <f t="shared" si="20"/>
        <v>0.5805949470252649</v>
      </c>
    </row>
    <row r="373" spans="1:10" s="54" customFormat="1" ht="12.75">
      <c r="A373" s="138"/>
      <c r="B373" s="138"/>
      <c r="C373" s="138" t="s">
        <v>166</v>
      </c>
      <c r="D373" s="174" t="str">
        <f>IF(A373&gt;0,(LOOKUP(A373,'[1]Dz.'!A:A,'[1]Dz.'!B:B)),(IF(B373&gt;0,(LOOKUP(B373,'[1]Roz.'!A:A,'[1]Roz.'!B:B)),(IF(C373&gt;0,(LOOKUP(C373,'[1]par.'!A:A,'[1]par.'!B:B)),0)))))</f>
        <v>Składki na Fundusz Pracy</v>
      </c>
      <c r="E373" s="195">
        <v>496</v>
      </c>
      <c r="F373" s="195"/>
      <c r="G373" s="195"/>
      <c r="H373" s="195">
        <f t="shared" si="19"/>
        <v>496</v>
      </c>
      <c r="I373" s="262">
        <v>274.61</v>
      </c>
      <c r="J373" s="223">
        <f t="shared" si="20"/>
        <v>0.5536491935483872</v>
      </c>
    </row>
    <row r="374" spans="1:10" s="54" customFormat="1" ht="12.75">
      <c r="A374" s="138"/>
      <c r="B374" s="138"/>
      <c r="C374" s="138" t="s">
        <v>168</v>
      </c>
      <c r="D374" s="174" t="str">
        <f>IF(A374&gt;0,(LOOKUP(A374,'[1]Dz.'!A:A,'[1]Dz.'!B:B)),(IF(B374&gt;0,(LOOKUP(B374,'[1]Roz.'!A:A,'[1]Roz.'!B:B)),(IF(C374&gt;0,(LOOKUP(C374,'[1]par.'!A:A,'[1]par.'!B:B)),0)))))</f>
        <v>Wynagrodzenia bezosobowe</v>
      </c>
      <c r="E374" s="195">
        <v>50670</v>
      </c>
      <c r="F374" s="195">
        <v>4900</v>
      </c>
      <c r="G374" s="195">
        <f>269+11000</f>
        <v>11269</v>
      </c>
      <c r="H374" s="195">
        <f t="shared" si="19"/>
        <v>44301</v>
      </c>
      <c r="I374" s="262">
        <v>17034</v>
      </c>
      <c r="J374" s="223">
        <f t="shared" si="20"/>
        <v>0.3845059930927067</v>
      </c>
    </row>
    <row r="375" spans="1:10" s="54" customFormat="1" ht="12.75">
      <c r="A375" s="138"/>
      <c r="B375" s="138"/>
      <c r="C375" s="138" t="s">
        <v>156</v>
      </c>
      <c r="D375" s="174" t="str">
        <f>IF(A375&gt;0,(LOOKUP(A375,'[1]Dz.'!A:A,'[1]Dz.'!B:B)),(IF(B375&gt;0,(LOOKUP(B375,'[1]Roz.'!A:A,'[1]Roz.'!B:B)),(IF(C375&gt;0,(LOOKUP(C375,'[1]par.'!A:A,'[1]par.'!B:B)),0)))))</f>
        <v>Zakup materiałów i wyposażenia</v>
      </c>
      <c r="E375" s="195">
        <v>583</v>
      </c>
      <c r="F375" s="195">
        <v>200</v>
      </c>
      <c r="G375" s="195"/>
      <c r="H375" s="195">
        <f t="shared" si="19"/>
        <v>783</v>
      </c>
      <c r="I375" s="262">
        <v>604.6</v>
      </c>
      <c r="J375" s="223">
        <f t="shared" si="20"/>
        <v>0.7721583652618136</v>
      </c>
    </row>
    <row r="376" spans="1:10" s="54" customFormat="1" ht="12.75">
      <c r="A376" s="138"/>
      <c r="B376" s="138"/>
      <c r="C376" s="138" t="s">
        <v>170</v>
      </c>
      <c r="D376" s="174" t="str">
        <f>IF(A376&gt;0,(LOOKUP(A376,'[1]Dz.'!A:A,'[1]Dz.'!B:B)),(IF(B376&gt;0,(LOOKUP(B376,'[1]Roz.'!A:A,'[1]Roz.'!B:B)),(IF(C376&gt;0,(LOOKUP(C376,'[1]par.'!A:A,'[1]par.'!B:B)),0)))))</f>
        <v>Zakup usług remontowych</v>
      </c>
      <c r="E376" s="195">
        <v>204</v>
      </c>
      <c r="F376" s="195"/>
      <c r="G376" s="195"/>
      <c r="H376" s="195">
        <f t="shared" si="19"/>
        <v>204</v>
      </c>
      <c r="I376" s="262">
        <v>48.8</v>
      </c>
      <c r="J376" s="223">
        <f t="shared" si="20"/>
        <v>0.2392156862745098</v>
      </c>
    </row>
    <row r="377" spans="1:10" s="54" customFormat="1" ht="12.75">
      <c r="A377" s="138"/>
      <c r="B377" s="138"/>
      <c r="C377" s="150" t="s">
        <v>194</v>
      </c>
      <c r="D377" s="174" t="str">
        <f>IF(A377&gt;0,(LOOKUP(A377,'[1]Dz.'!A:A,'[1]Dz.'!B:B)),(IF(B377&gt;0,(LOOKUP(B377,'[1]Roz.'!A:A,'[1]Roz.'!B:B)),(IF(C377&gt;0,(LOOKUP(C377,'[1]par.'!A:A,'[1]par.'!B:B)),0)))))</f>
        <v>Zakup usług zdrowotnych</v>
      </c>
      <c r="E377" s="195">
        <v>60</v>
      </c>
      <c r="F377" s="195"/>
      <c r="G377" s="195"/>
      <c r="H377" s="195">
        <f t="shared" si="19"/>
        <v>60</v>
      </c>
      <c r="I377" s="262"/>
      <c r="J377" s="223">
        <f t="shared" si="20"/>
        <v>0</v>
      </c>
    </row>
    <row r="378" spans="1:10" s="54" customFormat="1" ht="12.75">
      <c r="A378" s="138"/>
      <c r="B378" s="138"/>
      <c r="C378" s="138" t="s">
        <v>157</v>
      </c>
      <c r="D378" s="174" t="str">
        <f>IF(A378&gt;0,(LOOKUP(A378,'[1]Dz.'!A:A,'[1]Dz.'!B:B)),(IF(B378&gt;0,(LOOKUP(B378,'[1]Roz.'!A:A,'[1]Roz.'!B:B)),(IF(C378&gt;0,(LOOKUP(C378,'[1]par.'!A:A,'[1]par.'!B:B)),0)))))</f>
        <v>Zakup usług pozostałych</v>
      </c>
      <c r="E378" s="195">
        <v>3064</v>
      </c>
      <c r="F378" s="195">
        <v>24500</v>
      </c>
      <c r="G378" s="195"/>
      <c r="H378" s="195">
        <f t="shared" si="19"/>
        <v>27564</v>
      </c>
      <c r="I378" s="262">
        <v>12678.82</v>
      </c>
      <c r="J378" s="223">
        <f t="shared" si="20"/>
        <v>0.4599775068930489</v>
      </c>
    </row>
    <row r="379" spans="1:10" s="54" customFormat="1" ht="12.75">
      <c r="A379" s="138"/>
      <c r="B379" s="138"/>
      <c r="C379" s="138" t="s">
        <v>171</v>
      </c>
      <c r="D379" s="174" t="str">
        <f>IF(A379&gt;0,(LOOKUP(A379,'[1]Dz.'!A:A,'[1]Dz.'!B:B)),(IF(B379&gt;0,(LOOKUP(B379,'[1]Roz.'!A:A,'[1]Roz.'!B:B)),(IF(C379&gt;0,(LOOKUP(C379,'[1]par.'!A:A,'[1]par.'!B:B)),0)))))</f>
        <v>Zakup dostępu do sieci internet</v>
      </c>
      <c r="E379" s="195">
        <v>864</v>
      </c>
      <c r="F379" s="195"/>
      <c r="G379" s="195"/>
      <c r="H379" s="195">
        <f t="shared" si="19"/>
        <v>864</v>
      </c>
      <c r="I379" s="262">
        <v>431.88</v>
      </c>
      <c r="J379" s="223">
        <f t="shared" si="20"/>
        <v>0.4998611111111111</v>
      </c>
    </row>
    <row r="380" spans="1:10" s="54" customFormat="1" ht="38.25">
      <c r="A380" s="138"/>
      <c r="B380" s="138"/>
      <c r="C380" s="150" t="s">
        <v>173</v>
      </c>
      <c r="D380" s="174" t="str">
        <f>IF(A380&gt;0,(LOOKUP(A380,'[1]Dz.'!A:A,'[1]Dz.'!B:B)),(IF(B380&gt;0,(LOOKUP(B380,'[1]Roz.'!A:A,'[1]Roz.'!B:B)),(IF(C380&gt;0,(LOOKUP(C380,'[1]par.'!A:A,'[1]par.'!B:B)),0)))))</f>
        <v>Opłaty z tytułu zakupu usług telekomunikacyjnych telefonii stacjonarnej</v>
      </c>
      <c r="E380" s="195">
        <v>1440</v>
      </c>
      <c r="F380" s="195"/>
      <c r="G380" s="195"/>
      <c r="H380" s="195">
        <f t="shared" si="19"/>
        <v>1440</v>
      </c>
      <c r="I380" s="262">
        <v>624.35</v>
      </c>
      <c r="J380" s="223">
        <f t="shared" si="20"/>
        <v>0.4335763888888889</v>
      </c>
    </row>
    <row r="381" spans="1:10" s="54" customFormat="1" ht="25.5">
      <c r="A381" s="138"/>
      <c r="B381" s="138"/>
      <c r="C381" s="150" t="s">
        <v>189</v>
      </c>
      <c r="D381" s="174" t="str">
        <f>IF(A381&gt;0,(LOOKUP(A381,'[1]Dz.'!A:A,'[1]Dz.'!B:B)),(IF(B381&gt;0,(LOOKUP(B381,'[1]Roz.'!A:A,'[1]Roz.'!B:B)),(IF(C381&gt;0,(LOOKUP(C381,'[1]par.'!A:A,'[1]par.'!B:B)),0)))))</f>
        <v>Opłaty czynszowe za pomieszczenia biurowe</v>
      </c>
      <c r="E381" s="195">
        <v>8418</v>
      </c>
      <c r="F381" s="195">
        <v>300</v>
      </c>
      <c r="G381" s="194"/>
      <c r="H381" s="195">
        <f t="shared" si="19"/>
        <v>8718</v>
      </c>
      <c r="I381" s="273">
        <v>4349.32</v>
      </c>
      <c r="J381" s="234">
        <f t="shared" si="20"/>
        <v>0.498889653590273</v>
      </c>
    </row>
    <row r="382" spans="1:10" s="54" customFormat="1" ht="12.75">
      <c r="A382" s="138"/>
      <c r="B382" s="138"/>
      <c r="C382" s="138" t="s">
        <v>174</v>
      </c>
      <c r="D382" s="174" t="str">
        <f>IF(A382&gt;0,(LOOKUP(A382,'[1]Dz.'!A:A,'[1]Dz.'!B:B)),(IF(B382&gt;0,(LOOKUP(B382,'[1]Roz.'!A:A,'[1]Roz.'!B:B)),(IF(C382&gt;0,(LOOKUP(C382,'[1]par.'!A:A,'[1]par.'!B:B)),0)))))</f>
        <v>Podróże służbowe krajowe</v>
      </c>
      <c r="E382" s="195">
        <v>200</v>
      </c>
      <c r="F382" s="195"/>
      <c r="G382" s="195"/>
      <c r="H382" s="195">
        <f t="shared" si="19"/>
        <v>200</v>
      </c>
      <c r="I382" s="262"/>
      <c r="J382" s="223">
        <f t="shared" si="20"/>
        <v>0</v>
      </c>
    </row>
    <row r="383" spans="1:10" s="54" customFormat="1" ht="12.75">
      <c r="A383" s="138"/>
      <c r="B383" s="138"/>
      <c r="C383" s="158" t="s">
        <v>175</v>
      </c>
      <c r="D383" s="174" t="str">
        <f>IF(A383&gt;0,(LOOKUP(A383,'[1]Dz.'!A:A,'[1]Dz.'!B:B)),(IF(B383&gt;0,(LOOKUP(B383,'[1]Roz.'!A:A,'[1]Roz.'!B:B)),(IF(C383&gt;0,(LOOKUP(C383,'[1]par.'!A:A,'[1]par.'!B:B)),0)))))</f>
        <v>Różne opłaty i składki</v>
      </c>
      <c r="E383" s="195">
        <v>296</v>
      </c>
      <c r="F383" s="195">
        <v>244</v>
      </c>
      <c r="G383" s="195"/>
      <c r="H383" s="195">
        <f t="shared" si="19"/>
        <v>540</v>
      </c>
      <c r="I383" s="262">
        <v>135</v>
      </c>
      <c r="J383" s="223">
        <f t="shared" si="20"/>
        <v>0.25</v>
      </c>
    </row>
    <row r="384" spans="1:10" s="54" customFormat="1" ht="25.5">
      <c r="A384" s="138"/>
      <c r="B384" s="138"/>
      <c r="C384" s="158" t="s">
        <v>176</v>
      </c>
      <c r="D384" s="174" t="str">
        <f>IF(A384&gt;0,(LOOKUP(A384,'[1]Dz.'!A:A,'[1]Dz.'!B:B)),(IF(B384&gt;0,(LOOKUP(B384,'[1]Roz.'!A:A,'[1]Roz.'!B:B)),(IF(C384&gt;0,(LOOKUP(C384,'[1]par.'!A:A,'[1]par.'!B:B)),0)))))</f>
        <v>Odpisy na zakladowy fundusz świadczeń socjalnych</v>
      </c>
      <c r="E384" s="195">
        <v>788</v>
      </c>
      <c r="F384" s="195"/>
      <c r="G384" s="194"/>
      <c r="H384" s="195">
        <f t="shared" si="19"/>
        <v>788</v>
      </c>
      <c r="I384" s="273">
        <v>591</v>
      </c>
      <c r="J384" s="234">
        <f t="shared" si="20"/>
        <v>0.75</v>
      </c>
    </row>
    <row r="385" spans="1:10" s="54" customFormat="1" ht="12.75">
      <c r="A385" s="138"/>
      <c r="B385" s="138"/>
      <c r="C385" s="150" t="s">
        <v>180</v>
      </c>
      <c r="D385" s="139" t="str">
        <f>IF(A385&gt;0,(LOOKUP(A385,'[1]Dz.'!A:A,'[1]Dz.'!B:B)),(IF(B385&gt;0,(LOOKUP(B385,'[1]Roz.'!A:A,'[1]Roz.'!B:B)),(IF(C385&gt;0,(LOOKUP(C385,'[1]par.'!A:A,'[1]par.'!B:B)),0)))))</f>
        <v>Szkolenia pracowników</v>
      </c>
      <c r="E385" s="194"/>
      <c r="F385" s="195">
        <v>25</v>
      </c>
      <c r="G385" s="195"/>
      <c r="H385" s="195">
        <f t="shared" si="19"/>
        <v>25</v>
      </c>
      <c r="I385" s="262"/>
      <c r="J385" s="223">
        <f t="shared" si="20"/>
        <v>0</v>
      </c>
    </row>
    <row r="386" spans="1:10" s="54" customFormat="1" ht="38.25">
      <c r="A386" s="138"/>
      <c r="B386" s="138"/>
      <c r="C386" s="150" t="s">
        <v>181</v>
      </c>
      <c r="D386" s="174" t="str">
        <f>IF(A386&gt;0,(LOOKUP(A386,'[1]Dz.'!A:A,'[1]Dz.'!B:B)),(IF(B386&gt;0,(LOOKUP(B386,'[1]Roz.'!A:A,'[1]Roz.'!B:B)),(IF(C386&gt;0,(LOOKUP(C386,'[1]par.'!A:A,'[1]par.'!B:B)),0)))))</f>
        <v>Zakup materiałów papierniczych do sprzętu drukarskego i urządzeń kserograficznych</v>
      </c>
      <c r="E386" s="195">
        <v>300</v>
      </c>
      <c r="F386" s="195">
        <v>600</v>
      </c>
      <c r="G386" s="194"/>
      <c r="H386" s="195">
        <f t="shared" si="19"/>
        <v>900</v>
      </c>
      <c r="I386" s="273">
        <v>130.14</v>
      </c>
      <c r="J386" s="234">
        <f t="shared" si="20"/>
        <v>0.14459999999999998</v>
      </c>
    </row>
    <row r="387" spans="1:10" s="54" customFormat="1" ht="25.5">
      <c r="A387" s="138"/>
      <c r="B387" s="138"/>
      <c r="C387" s="170" t="s">
        <v>182</v>
      </c>
      <c r="D387" s="174" t="str">
        <f>IF(A387&gt;0,(LOOKUP(A387,'[1]Dz.'!A:A,'[1]Dz.'!B:B)),(IF(B387&gt;0,(LOOKUP(B387,'[1]Roz.'!A:A,'[1]Roz.'!B:B)),(IF(C387&gt;0,(LOOKUP(C387,'[1]par.'!A:A,'[1]par.'!B:B)),0)))))</f>
        <v>Zakup akcesoriów komputerowych, w tym programów i licencji</v>
      </c>
      <c r="E387" s="195">
        <v>300</v>
      </c>
      <c r="F387" s="195">
        <v>500</v>
      </c>
      <c r="G387" s="195"/>
      <c r="H387" s="195">
        <f t="shared" si="19"/>
        <v>800</v>
      </c>
      <c r="I387" s="262">
        <v>660.9</v>
      </c>
      <c r="J387" s="223">
        <f t="shared" si="20"/>
        <v>0.826125</v>
      </c>
    </row>
    <row r="388" spans="1:10" s="137" customFormat="1" ht="12.75">
      <c r="A388" s="134"/>
      <c r="B388" s="135" t="s">
        <v>135</v>
      </c>
      <c r="C388" s="135"/>
      <c r="D388" s="175" t="str">
        <f>IF(A388&gt;0,(LOOKUP(A388,'[1]Dz.'!A:A,'[1]Dz.'!B:B)),(IF(B388&gt;0,(LOOKUP(B388,'[1]Roz.'!A:A,'[1]Roz.'!B:B)),(IF(C388&gt;0,(LOOKUP(C388,'[1]par.'!A:A,'[1]par.'!B:B)),0)))))</f>
        <v>Powiatowe urzędy pracy</v>
      </c>
      <c r="E388" s="192">
        <f>SUM(E389:E419)</f>
        <v>950000</v>
      </c>
      <c r="F388" s="192">
        <f>SUM(F389:F419)</f>
        <v>294314</v>
      </c>
      <c r="G388" s="192">
        <f>SUM(G389:G419)</f>
        <v>17236</v>
      </c>
      <c r="H388" s="192">
        <f t="shared" si="19"/>
        <v>1227078</v>
      </c>
      <c r="I388" s="265">
        <f>SUM(I389:I419)</f>
        <v>528803.8899999999</v>
      </c>
      <c r="J388" s="226">
        <f t="shared" si="20"/>
        <v>0.43094562040880846</v>
      </c>
    </row>
    <row r="389" spans="1:10" s="54" customFormat="1" ht="12.75">
      <c r="A389" s="138"/>
      <c r="B389" s="138"/>
      <c r="C389" s="138" t="s">
        <v>163</v>
      </c>
      <c r="D389" s="174" t="str">
        <f>IF(A389&gt;0,(LOOKUP(A389,'[1]Dz.'!A:A,'[1]Dz.'!B:B)),(IF(B389&gt;0,(LOOKUP(B389,'[1]Roz.'!A:A,'[1]Roz.'!B:B)),(IF(C389&gt;0,(LOOKUP(C389,'[1]par.'!A:A,'[1]par.'!B:B)),0)))))</f>
        <v>Wynagrodzenia osobowe pracowników</v>
      </c>
      <c r="E389" s="195">
        <v>568716</v>
      </c>
      <c r="F389" s="195">
        <f>37585+9659+125471</f>
        <v>172715</v>
      </c>
      <c r="G389" s="195">
        <v>12157</v>
      </c>
      <c r="H389" s="195">
        <f t="shared" si="19"/>
        <v>729274</v>
      </c>
      <c r="I389" s="262">
        <v>297875.03</v>
      </c>
      <c r="J389" s="223">
        <f t="shared" si="20"/>
        <v>0.40845420239854985</v>
      </c>
    </row>
    <row r="390" spans="1:10" s="54" customFormat="1" ht="12.75">
      <c r="A390" s="138"/>
      <c r="B390" s="138"/>
      <c r="C390" s="138" t="s">
        <v>248</v>
      </c>
      <c r="D390" s="174" t="str">
        <f>IF(A390&gt;0,(LOOKUP(A390,'[1]Dz.'!A:A,'[1]Dz.'!B:B)),(IF(B390&gt;0,(LOOKUP(B390,'[1]Roz.'!A:A,'[1]Roz.'!B:B)),(IF(C390&gt;0,(LOOKUP(C390,'[1]par.'!A:A,'[1]par.'!B:B)),0)))))</f>
        <v>Wynagrodzenia osobowe pracowników</v>
      </c>
      <c r="E390" s="195">
        <v>10979</v>
      </c>
      <c r="F390" s="195"/>
      <c r="G390" s="195">
        <v>862</v>
      </c>
      <c r="H390" s="195">
        <f t="shared" si="19"/>
        <v>10117</v>
      </c>
      <c r="I390" s="262">
        <v>10117</v>
      </c>
      <c r="J390" s="223">
        <f t="shared" si="20"/>
        <v>1</v>
      </c>
    </row>
    <row r="391" spans="1:10" s="54" customFormat="1" ht="12.75">
      <c r="A391" s="138"/>
      <c r="B391" s="138"/>
      <c r="C391" s="138" t="s">
        <v>249</v>
      </c>
      <c r="D391" s="174" t="str">
        <f>IF(A391&gt;0,(LOOKUP(A391,'[1]Dz.'!A:A,'[1]Dz.'!B:B)),(IF(B391&gt;0,(LOOKUP(B391,'[1]Roz.'!A:A,'[1]Roz.'!B:B)),(IF(C391&gt;0,(LOOKUP(C391,'[1]par.'!A:A,'[1]par.'!B:B)),0)))))</f>
        <v>Wynagrodzenia osobowe pracowników</v>
      </c>
      <c r="E391" s="195">
        <v>4015</v>
      </c>
      <c r="F391" s="195">
        <v>13019</v>
      </c>
      <c r="G391" s="195"/>
      <c r="H391" s="195">
        <f t="shared" si="19"/>
        <v>17034</v>
      </c>
      <c r="I391" s="262">
        <v>5364.26</v>
      </c>
      <c r="J391" s="223">
        <f t="shared" si="20"/>
        <v>0.3149148761300928</v>
      </c>
    </row>
    <row r="392" spans="1:10" s="54" customFormat="1" ht="12.75" hidden="1">
      <c r="A392" s="138"/>
      <c r="B392" s="138"/>
      <c r="C392" s="138" t="s">
        <v>168</v>
      </c>
      <c r="D392" s="174" t="str">
        <f>IF(A392&gt;0,(LOOKUP(A392,'[1]Dz.'!A:A,'[1]Dz.'!B:B)),(IF(B392&gt;0,(LOOKUP(B392,'[1]Roz.'!A:A,'[1]Roz.'!B:B)),(IF(C392&gt;0,(LOOKUP(C392,'[1]par.'!A:A,'[1]par.'!B:B)),0)))))</f>
        <v>Wynagrodzenia bezosobowe</v>
      </c>
      <c r="E392" s="195">
        <v>0</v>
      </c>
      <c r="F392" s="195"/>
      <c r="G392" s="195"/>
      <c r="H392" s="195">
        <f t="shared" si="19"/>
        <v>0</v>
      </c>
      <c r="I392" s="262"/>
      <c r="J392" s="223" t="e">
        <f aca="true" t="shared" si="21" ref="J392:J419">I392/H392</f>
        <v>#DIV/0!</v>
      </c>
    </row>
    <row r="393" spans="1:10" s="54" customFormat="1" ht="12.75">
      <c r="A393" s="138"/>
      <c r="B393" s="138"/>
      <c r="C393" s="138" t="s">
        <v>164</v>
      </c>
      <c r="D393" s="174" t="str">
        <f>IF(A393&gt;0,(LOOKUP(A393,'[1]Dz.'!A:A,'[1]Dz.'!B:B)),(IF(B393&gt;0,(LOOKUP(B393,'[1]Roz.'!A:A,'[1]Roz.'!B:B)),(IF(C393&gt;0,(LOOKUP(C393,'[1]par.'!A:A,'[1]par.'!B:B)),0)))))</f>
        <v>Dodatkowe wynagrodzenie roczne</v>
      </c>
      <c r="E393" s="195">
        <v>53885</v>
      </c>
      <c r="F393" s="195"/>
      <c r="G393" s="195">
        <v>1139</v>
      </c>
      <c r="H393" s="195">
        <f t="shared" si="19"/>
        <v>52746</v>
      </c>
      <c r="I393" s="262">
        <v>47581.28</v>
      </c>
      <c r="J393" s="223">
        <f t="shared" si="21"/>
        <v>0.9020831911424563</v>
      </c>
    </row>
    <row r="394" spans="1:10" s="54" customFormat="1" ht="12.75">
      <c r="A394" s="138"/>
      <c r="B394" s="138"/>
      <c r="C394" s="138" t="s">
        <v>250</v>
      </c>
      <c r="D394" s="174" t="str">
        <f>IF(A394&gt;0,(LOOKUP(A394,'[1]Dz.'!A:A,'[1]Dz.'!B:B)),(IF(B394&gt;0,(LOOKUP(B394,'[1]Roz.'!A:A,'[1]Roz.'!B:B)),(IF(C394&gt;0,(LOOKUP(C394,'[1]par.'!A:A,'[1]par.'!B:B)),0)))))</f>
        <v>Dodatkowe wynagrodzenie roczne</v>
      </c>
      <c r="E394" s="195">
        <v>1102</v>
      </c>
      <c r="F394" s="195">
        <v>840</v>
      </c>
      <c r="G394" s="195"/>
      <c r="H394" s="195">
        <f t="shared" si="19"/>
        <v>1942</v>
      </c>
      <c r="I394" s="262">
        <v>1941.16</v>
      </c>
      <c r="J394" s="223">
        <f t="shared" si="21"/>
        <v>0.9995674562306901</v>
      </c>
    </row>
    <row r="395" spans="1:10" s="54" customFormat="1" ht="12.75">
      <c r="A395" s="138"/>
      <c r="B395" s="138"/>
      <c r="C395" s="138" t="s">
        <v>251</v>
      </c>
      <c r="D395" s="174" t="str">
        <f>IF(A395&gt;0,(LOOKUP(A395,'[1]Dz.'!A:A,'[1]Dz.'!B:B)),(IF(B395&gt;0,(LOOKUP(B395,'[1]Roz.'!A:A,'[1]Roz.'!B:B)),(IF(C395&gt;0,(LOOKUP(C395,'[1]par.'!A:A,'[1]par.'!B:B)),0)))))</f>
        <v>Dodatkowe wynagrodzenie roczne</v>
      </c>
      <c r="E395" s="195">
        <v>413</v>
      </c>
      <c r="F395" s="195">
        <v>299</v>
      </c>
      <c r="G395" s="195"/>
      <c r="H395" s="195">
        <f t="shared" si="19"/>
        <v>712</v>
      </c>
      <c r="I395" s="262">
        <v>711.97</v>
      </c>
      <c r="J395" s="223">
        <f t="shared" si="21"/>
        <v>0.9999578651685394</v>
      </c>
    </row>
    <row r="396" spans="1:10" s="54" customFormat="1" ht="12.75">
      <c r="A396" s="138"/>
      <c r="B396" s="138"/>
      <c r="C396" s="138" t="s">
        <v>165</v>
      </c>
      <c r="D396" s="174" t="str">
        <f>IF(A396&gt;0,(LOOKUP(A396,'[1]Dz.'!A:A,'[1]Dz.'!B:B)),(IF(B396&gt;0,(LOOKUP(B396,'[1]Roz.'!A:A,'[1]Roz.'!B:B)),(IF(C396&gt;0,(LOOKUP(C396,'[1]par.'!A:A,'[1]par.'!B:B)),0)))))</f>
        <v>Składki na ubezpieczenia społeczne</v>
      </c>
      <c r="E396" s="195">
        <v>104232</v>
      </c>
      <c r="F396" s="195">
        <f>6427+1652+21455</f>
        <v>29534</v>
      </c>
      <c r="G396" s="195">
        <v>2309</v>
      </c>
      <c r="H396" s="195">
        <f t="shared" si="19"/>
        <v>131457</v>
      </c>
      <c r="I396" s="262">
        <v>60818.41</v>
      </c>
      <c r="J396" s="223">
        <f t="shared" si="21"/>
        <v>0.4626486988140609</v>
      </c>
    </row>
    <row r="397" spans="1:10" s="54" customFormat="1" ht="12.75">
      <c r="A397" s="138"/>
      <c r="B397" s="138"/>
      <c r="C397" s="138" t="s">
        <v>229</v>
      </c>
      <c r="D397" s="174" t="str">
        <f>IF(A397&gt;0,(LOOKUP(A397,'[1]Dz.'!A:A,'[1]Dz.'!B:B)),(IF(B397&gt;0,(LOOKUP(B397,'[1]Roz.'!A:A,'[1]Roz.'!B:B)),(IF(C397&gt;0,(LOOKUP(C397,'[1]par.'!A:A,'[1]par.'!B:B)),0)))))</f>
        <v>Składki na ubezpieczenia społeczne</v>
      </c>
      <c r="E397" s="195">
        <v>1878</v>
      </c>
      <c r="F397" s="195">
        <v>22</v>
      </c>
      <c r="G397" s="195"/>
      <c r="H397" s="195">
        <f t="shared" si="19"/>
        <v>1900</v>
      </c>
      <c r="I397" s="262">
        <v>1899.94</v>
      </c>
      <c r="J397" s="223">
        <f t="shared" si="21"/>
        <v>0.9999684210526316</v>
      </c>
    </row>
    <row r="398" spans="1:10" s="54" customFormat="1" ht="12.75">
      <c r="A398" s="138"/>
      <c r="B398" s="138"/>
      <c r="C398" s="138" t="s">
        <v>230</v>
      </c>
      <c r="D398" s="174" t="str">
        <f>IF(A398&gt;0,(LOOKUP(A398,'[1]Dz.'!A:A,'[1]Dz.'!B:B)),(IF(B398&gt;0,(LOOKUP(B398,'[1]Roz.'!A:A,'[1]Roz.'!B:B)),(IF(C398&gt;0,(LOOKUP(C398,'[1]par.'!A:A,'[1]par.'!B:B)),0)))))</f>
        <v>Składki na ubezpieczenia społeczne</v>
      </c>
      <c r="E398" s="195">
        <v>687</v>
      </c>
      <c r="F398" s="195">
        <v>2287</v>
      </c>
      <c r="G398" s="195"/>
      <c r="H398" s="195">
        <f t="shared" si="19"/>
        <v>2974</v>
      </c>
      <c r="I398" s="262">
        <v>989.86</v>
      </c>
      <c r="J398" s="223">
        <f t="shared" si="21"/>
        <v>0.33283792871553464</v>
      </c>
    </row>
    <row r="399" spans="1:10" s="54" customFormat="1" ht="12.75">
      <c r="A399" s="138"/>
      <c r="B399" s="138"/>
      <c r="C399" s="138" t="s">
        <v>166</v>
      </c>
      <c r="D399" s="174" t="str">
        <f>IF(A399&gt;0,(LOOKUP(A399,'[1]Dz.'!A:A,'[1]Dz.'!B:B)),(IF(B399&gt;0,(LOOKUP(B399,'[1]Roz.'!A:A,'[1]Roz.'!B:B)),(IF(C399&gt;0,(LOOKUP(C399,'[1]par.'!A:A,'[1]par.'!B:B)),0)))))</f>
        <v>Składki na Fundusz Pracy</v>
      </c>
      <c r="E399" s="195">
        <v>14934</v>
      </c>
      <c r="F399" s="195">
        <f>921+236+3074</f>
        <v>4231</v>
      </c>
      <c r="G399" s="195">
        <v>329</v>
      </c>
      <c r="H399" s="195">
        <f t="shared" si="19"/>
        <v>18836</v>
      </c>
      <c r="I399" s="262">
        <v>8431.52</v>
      </c>
      <c r="J399" s="223">
        <f t="shared" si="21"/>
        <v>0.4476279464854534</v>
      </c>
    </row>
    <row r="400" spans="1:10" s="54" customFormat="1" ht="12.75">
      <c r="A400" s="138"/>
      <c r="B400" s="138"/>
      <c r="C400" s="138" t="s">
        <v>231</v>
      </c>
      <c r="D400" s="174" t="str">
        <f>IF(A400&gt;0,(LOOKUP(A400,'[1]Dz.'!A:A,'[1]Dz.'!B:B)),(IF(B400&gt;0,(LOOKUP(B400,'[1]Roz.'!A:A,'[1]Roz.'!B:B)),(IF(C400&gt;0,(LOOKUP(C400,'[1]par.'!A:A,'[1]par.'!B:B)),0)))))</f>
        <v>Składki na Fundusz Pracy</v>
      </c>
      <c r="E400" s="195">
        <v>269</v>
      </c>
      <c r="F400" s="195">
        <v>1</v>
      </c>
      <c r="G400" s="195"/>
      <c r="H400" s="195">
        <f t="shared" si="19"/>
        <v>270</v>
      </c>
      <c r="I400" s="262">
        <v>269.19</v>
      </c>
      <c r="J400" s="223">
        <f t="shared" si="21"/>
        <v>0.997</v>
      </c>
    </row>
    <row r="401" spans="1:10" s="54" customFormat="1" ht="12.75">
      <c r="A401" s="138"/>
      <c r="B401" s="138"/>
      <c r="C401" s="138" t="s">
        <v>232</v>
      </c>
      <c r="D401" s="174" t="str">
        <f>IF(A401&gt;0,(LOOKUP(A401,'[1]Dz.'!A:A,'[1]Dz.'!B:B)),(IF(B401&gt;0,(LOOKUP(B401,'[1]Roz.'!A:A,'[1]Roz.'!B:B)),(IF(C401&gt;0,(LOOKUP(C401,'[1]par.'!A:A,'[1]par.'!B:B)),0)))))</f>
        <v>Składki na Fundusz Pracy</v>
      </c>
      <c r="E401" s="195">
        <v>98</v>
      </c>
      <c r="F401" s="195">
        <v>328</v>
      </c>
      <c r="G401" s="195"/>
      <c r="H401" s="195">
        <f t="shared" si="19"/>
        <v>426</v>
      </c>
      <c r="I401" s="262">
        <v>139.31</v>
      </c>
      <c r="J401" s="223">
        <f t="shared" si="21"/>
        <v>0.327018779342723</v>
      </c>
    </row>
    <row r="402" spans="1:10" s="54" customFormat="1" ht="12.75">
      <c r="A402" s="138"/>
      <c r="B402" s="138"/>
      <c r="C402" s="138" t="s">
        <v>156</v>
      </c>
      <c r="D402" s="174" t="str">
        <f>IF(A402&gt;0,(LOOKUP(A402,'[1]Dz.'!A:A,'[1]Dz.'!B:B)),(IF(B402&gt;0,(LOOKUP(B402,'[1]Roz.'!A:A,'[1]Roz.'!B:B)),(IF(C402&gt;0,(LOOKUP(C402,'[1]par.'!A:A,'[1]par.'!B:B)),0)))))</f>
        <v>Zakup materiałów i wyposażenia</v>
      </c>
      <c r="E402" s="195">
        <v>32500</v>
      </c>
      <c r="F402" s="195"/>
      <c r="G402" s="195">
        <v>440</v>
      </c>
      <c r="H402" s="195">
        <f t="shared" si="19"/>
        <v>32060</v>
      </c>
      <c r="I402" s="262">
        <v>9284.17</v>
      </c>
      <c r="J402" s="223">
        <f t="shared" si="21"/>
        <v>0.28958733624454147</v>
      </c>
    </row>
    <row r="403" spans="1:10" s="54" customFormat="1" ht="12.75">
      <c r="A403" s="138"/>
      <c r="B403" s="138"/>
      <c r="C403" s="138" t="s">
        <v>236</v>
      </c>
      <c r="D403" s="174" t="str">
        <f>IF(A403&gt;0,(LOOKUP(A403,'[1]Dz.'!A:A,'[1]Dz.'!B:B)),(IF(B403&gt;0,(LOOKUP(B403,'[1]Roz.'!A:A,'[1]Roz.'!B:B)),(IF(C403&gt;0,(LOOKUP(C403,'[1]par.'!A:A,'[1]par.'!B:B)),0)))))</f>
        <v>Zakup materiałów i wyposażenia</v>
      </c>
      <c r="E403" s="195">
        <v>2900</v>
      </c>
      <c r="F403" s="195">
        <v>440</v>
      </c>
      <c r="G403" s="195"/>
      <c r="H403" s="195">
        <f t="shared" si="19"/>
        <v>3340</v>
      </c>
      <c r="I403" s="262">
        <v>1660.42</v>
      </c>
      <c r="J403" s="223">
        <f t="shared" si="21"/>
        <v>0.49713173652694614</v>
      </c>
    </row>
    <row r="404" spans="1:10" s="54" customFormat="1" ht="12.75">
      <c r="A404" s="138"/>
      <c r="B404" s="138"/>
      <c r="C404" s="138" t="s">
        <v>169</v>
      </c>
      <c r="D404" s="174" t="str">
        <f>IF(A404&gt;0,(LOOKUP(A404,'[1]Dz.'!A:A,'[1]Dz.'!B:B)),(IF(B404&gt;0,(LOOKUP(B404,'[1]Roz.'!A:A,'[1]Roz.'!B:B)),(IF(C404&gt;0,(LOOKUP(C404,'[1]par.'!A:A,'[1]par.'!B:B)),0)))))</f>
        <v>Zakup energii</v>
      </c>
      <c r="E404" s="195">
        <v>33600</v>
      </c>
      <c r="F404" s="195"/>
      <c r="G404" s="195"/>
      <c r="H404" s="195">
        <f t="shared" si="19"/>
        <v>33600</v>
      </c>
      <c r="I404" s="262">
        <v>17637.24</v>
      </c>
      <c r="J404" s="223">
        <f t="shared" si="21"/>
        <v>0.5249178571428572</v>
      </c>
    </row>
    <row r="405" spans="1:10" s="54" customFormat="1" ht="12.75">
      <c r="A405" s="138"/>
      <c r="B405" s="138"/>
      <c r="C405" s="138" t="s">
        <v>170</v>
      </c>
      <c r="D405" s="174" t="str">
        <f>IF(A405&gt;0,(LOOKUP(A405,'[1]Dz.'!A:A,'[1]Dz.'!B:B)),(IF(B405&gt;0,(LOOKUP(B405,'[1]Roz.'!A:A,'[1]Roz.'!B:B)),(IF(C405&gt;0,(LOOKUP(C405,'[1]par.'!A:A,'[1]par.'!B:B)),0)))))</f>
        <v>Zakup usług remontowych</v>
      </c>
      <c r="E405" s="195">
        <v>21760</v>
      </c>
      <c r="F405" s="195">
        <v>598</v>
      </c>
      <c r="G405" s="195"/>
      <c r="H405" s="195">
        <f t="shared" si="19"/>
        <v>22358</v>
      </c>
      <c r="I405" s="262">
        <v>1793.86</v>
      </c>
      <c r="J405" s="223">
        <f t="shared" si="21"/>
        <v>0.08023347347705519</v>
      </c>
    </row>
    <row r="406" spans="1:10" s="54" customFormat="1" ht="12.75">
      <c r="A406" s="138"/>
      <c r="B406" s="138"/>
      <c r="C406" s="150" t="s">
        <v>194</v>
      </c>
      <c r="D406" s="174" t="str">
        <f>IF(A406&gt;0,(LOOKUP(A406,'[1]Dz.'!A:A,'[1]Dz.'!B:B)),(IF(B406&gt;0,(LOOKUP(B406,'[1]Roz.'!A:A,'[1]Roz.'!B:B)),(IF(C406&gt;0,(LOOKUP(C406,'[1]par.'!A:A,'[1]par.'!B:B)),0)))))</f>
        <v>Zakup usług zdrowotnych</v>
      </c>
      <c r="E406" s="195">
        <v>500</v>
      </c>
      <c r="F406" s="195"/>
      <c r="G406" s="195"/>
      <c r="H406" s="195">
        <f t="shared" si="19"/>
        <v>500</v>
      </c>
      <c r="I406" s="262"/>
      <c r="J406" s="223">
        <f t="shared" si="21"/>
        <v>0</v>
      </c>
    </row>
    <row r="407" spans="1:10" s="54" customFormat="1" ht="12.75">
      <c r="A407" s="138"/>
      <c r="B407" s="138"/>
      <c r="C407" s="138" t="s">
        <v>157</v>
      </c>
      <c r="D407" s="174" t="str">
        <f>IF(A407&gt;0,(LOOKUP(A407,'[1]Dz.'!A:A,'[1]Dz.'!B:B)),(IF(B407&gt;0,(LOOKUP(B407,'[1]Roz.'!A:A,'[1]Roz.'!B:B)),(IF(C407&gt;0,(LOOKUP(C407,'[1]par.'!A:A,'[1]par.'!B:B)),0)))))</f>
        <v>Zakup usług pozostałych</v>
      </c>
      <c r="E407" s="195">
        <v>18300</v>
      </c>
      <c r="F407" s="195"/>
      <c r="G407" s="195"/>
      <c r="H407" s="195">
        <f t="shared" si="19"/>
        <v>18300</v>
      </c>
      <c r="I407" s="262">
        <v>7582.25</v>
      </c>
      <c r="J407" s="223">
        <f t="shared" si="21"/>
        <v>0.41433060109289616</v>
      </c>
    </row>
    <row r="408" spans="1:10" s="54" customFormat="1" ht="12.75">
      <c r="A408" s="138"/>
      <c r="B408" s="138"/>
      <c r="C408" s="138" t="s">
        <v>237</v>
      </c>
      <c r="D408" s="174" t="str">
        <f>IF(A408&gt;0,(LOOKUP(A408,'[1]Dz.'!A:A,'[1]Dz.'!B:B)),(IF(B408&gt;0,(LOOKUP(B408,'[1]Roz.'!A:A,'[1]Roz.'!B:B)),(IF(C408&gt;0,(LOOKUP(C408,'[1]par.'!A:A,'[1]par.'!B:B)),0)))))</f>
        <v>Zakup usług pozostałych</v>
      </c>
      <c r="E408" s="195">
        <v>19000</v>
      </c>
      <c r="F408" s="195"/>
      <c r="G408" s="195"/>
      <c r="H408" s="195">
        <f t="shared" si="19"/>
        <v>19000</v>
      </c>
      <c r="I408" s="262">
        <v>19000</v>
      </c>
      <c r="J408" s="223">
        <f t="shared" si="21"/>
        <v>1</v>
      </c>
    </row>
    <row r="409" spans="1:10" s="54" customFormat="1" ht="12.75">
      <c r="A409" s="138"/>
      <c r="B409" s="138"/>
      <c r="C409" s="138" t="s">
        <v>171</v>
      </c>
      <c r="D409" s="174" t="str">
        <f>IF(A409&gt;0,(LOOKUP(A409,'[1]Dz.'!A:A,'[1]Dz.'!B:B)),(IF(B409&gt;0,(LOOKUP(B409,'[1]Roz.'!A:A,'[1]Roz.'!B:B)),(IF(C409&gt;0,(LOOKUP(C409,'[1]par.'!A:A,'[1]par.'!B:B)),0)))))</f>
        <v>Zakup dostępu do sieci internet</v>
      </c>
      <c r="E409" s="195">
        <v>1100</v>
      </c>
      <c r="F409" s="195"/>
      <c r="G409" s="195"/>
      <c r="H409" s="195">
        <f t="shared" si="19"/>
        <v>1100</v>
      </c>
      <c r="I409" s="262">
        <v>412.36</v>
      </c>
      <c r="J409" s="223">
        <f t="shared" si="21"/>
        <v>0.3748727272727273</v>
      </c>
    </row>
    <row r="410" spans="1:10" s="54" customFormat="1" ht="38.25">
      <c r="A410" s="138"/>
      <c r="B410" s="138"/>
      <c r="C410" s="150" t="s">
        <v>172</v>
      </c>
      <c r="D410" s="174" t="str">
        <f>IF(A410&gt;0,(LOOKUP(A410,'[1]Dz.'!A:A,'[1]Dz.'!B:B)),(IF(B410&gt;0,(LOOKUP(B410,'[1]Roz.'!A:A,'[1]Roz.'!B:B)),(IF(C410&gt;0,(LOOKUP(C410,'[1]par.'!A:A,'[1]par.'!B:B)),0)))))</f>
        <v>Opłaty z tytułu zakupu usług telekomunikacyjnych telefonii komórkowej</v>
      </c>
      <c r="E410" s="195">
        <v>1200</v>
      </c>
      <c r="F410" s="195"/>
      <c r="G410" s="195"/>
      <c r="H410" s="195">
        <f t="shared" si="19"/>
        <v>1200</v>
      </c>
      <c r="I410" s="262">
        <v>819.18</v>
      </c>
      <c r="J410" s="223">
        <f t="shared" si="21"/>
        <v>0.68265</v>
      </c>
    </row>
    <row r="411" spans="1:10" s="54" customFormat="1" ht="38.25">
      <c r="A411" s="138"/>
      <c r="B411" s="138"/>
      <c r="C411" s="150" t="s">
        <v>173</v>
      </c>
      <c r="D411" s="174" t="str">
        <f>IF(A411&gt;0,(LOOKUP(A411,'[1]Dz.'!A:A,'[1]Dz.'!B:B)),(IF(B411&gt;0,(LOOKUP(B411,'[1]Roz.'!A:A,'[1]Roz.'!B:B)),(IF(C411&gt;0,(LOOKUP(C411,'[1]par.'!A:A,'[1]par.'!B:B)),0)))))</f>
        <v>Opłaty z tytułu zakupu usług telekomunikacyjnych telefonii stacjonarnej</v>
      </c>
      <c r="E411" s="195">
        <v>2900</v>
      </c>
      <c r="F411" s="195"/>
      <c r="G411" s="195"/>
      <c r="H411" s="195">
        <f>E411+F411-G411</f>
        <v>2900</v>
      </c>
      <c r="I411" s="262">
        <v>1679.13</v>
      </c>
      <c r="J411" s="223">
        <f t="shared" si="21"/>
        <v>0.5790103448275863</v>
      </c>
    </row>
    <row r="412" spans="1:10" s="54" customFormat="1" ht="12.75">
      <c r="A412" s="138"/>
      <c r="B412" s="138"/>
      <c r="C412" s="138" t="s">
        <v>174</v>
      </c>
      <c r="D412" s="174" t="str">
        <f>IF(A412&gt;0,(LOOKUP(A412,'[1]Dz.'!A:A,'[1]Dz.'!B:B)),(IF(B412&gt;0,(LOOKUP(B412,'[1]Roz.'!A:A,'[1]Roz.'!B:B)),(IF(C412&gt;0,(LOOKUP(C412,'[1]par.'!A:A,'[1]par.'!B:B)),0)))))</f>
        <v>Podróże służbowe krajowe</v>
      </c>
      <c r="E412" s="195">
        <v>10100</v>
      </c>
      <c r="F412" s="195"/>
      <c r="G412" s="195"/>
      <c r="H412" s="195">
        <f t="shared" si="19"/>
        <v>10100</v>
      </c>
      <c r="I412" s="262">
        <v>2394.48</v>
      </c>
      <c r="J412" s="223">
        <f t="shared" si="21"/>
        <v>0.2370772277227723</v>
      </c>
    </row>
    <row r="413" spans="1:10" s="54" customFormat="1" ht="12.75" hidden="1">
      <c r="A413" s="138"/>
      <c r="B413" s="138"/>
      <c r="C413" s="138" t="s">
        <v>252</v>
      </c>
      <c r="D413" s="174" t="str">
        <f>IF(A413&gt;0,(LOOKUP(A413,'[1]Dz.'!A:A,'[1]Dz.'!B:B)),(IF(B413&gt;0,(LOOKUP(B413,'[1]Roz.'!A:A,'[1]Roz.'!B:B)),(IF(C413&gt;0,(LOOKUP(C413,'[1]par.'!A:A,'[1]par.'!B:B)),0)))))</f>
        <v>Podróże służbowe krajowe</v>
      </c>
      <c r="E413" s="195">
        <v>0</v>
      </c>
      <c r="F413" s="195"/>
      <c r="G413" s="195"/>
      <c r="H413" s="195">
        <f aca="true" t="shared" si="22" ref="H413:H476">E413+F413-G413</f>
        <v>0</v>
      </c>
      <c r="I413" s="262"/>
      <c r="J413" s="223" t="e">
        <f t="shared" si="21"/>
        <v>#DIV/0!</v>
      </c>
    </row>
    <row r="414" spans="1:10" s="54" customFormat="1" ht="12.75">
      <c r="A414" s="138"/>
      <c r="B414" s="138"/>
      <c r="C414" s="138" t="s">
        <v>175</v>
      </c>
      <c r="D414" s="174" t="str">
        <f>IF(A414&gt;0,(LOOKUP(A414,'[1]Dz.'!A:A,'[1]Dz.'!B:B)),(IF(B414&gt;0,(LOOKUP(B414,'[1]Roz.'!A:A,'[1]Roz.'!B:B)),(IF(C414&gt;0,(LOOKUP(C414,'[1]par.'!A:A,'[1]par.'!B:B)),0)))))</f>
        <v>Różne opłaty i składki</v>
      </c>
      <c r="E414" s="195">
        <v>7500</v>
      </c>
      <c r="F414" s="195"/>
      <c r="G414" s="195"/>
      <c r="H414" s="195">
        <f t="shared" si="22"/>
        <v>7500</v>
      </c>
      <c r="I414" s="262">
        <v>4101</v>
      </c>
      <c r="J414" s="223">
        <f t="shared" si="21"/>
        <v>0.5468</v>
      </c>
    </row>
    <row r="415" spans="1:10" s="54" customFormat="1" ht="25.5">
      <c r="A415" s="138"/>
      <c r="B415" s="138"/>
      <c r="C415" s="138" t="s">
        <v>176</v>
      </c>
      <c r="D415" s="174" t="str">
        <f>IF(A415&gt;0,(LOOKUP(A415,'[1]Dz.'!A:A,'[1]Dz.'!B:B)),(IF(B415&gt;0,(LOOKUP(B415,'[1]Roz.'!A:A,'[1]Roz.'!B:B)),(IF(C415&gt;0,(LOOKUP(C415,'[1]par.'!A:A,'[1]par.'!B:B)),0)))))</f>
        <v>Odpisy na zakladowy fundusz świadczeń socjalnych</v>
      </c>
      <c r="E415" s="195">
        <v>32500</v>
      </c>
      <c r="F415" s="195"/>
      <c r="G415" s="195"/>
      <c r="H415" s="195">
        <f t="shared" si="22"/>
        <v>32500</v>
      </c>
      <c r="I415" s="262">
        <v>24375</v>
      </c>
      <c r="J415" s="223">
        <f t="shared" si="21"/>
        <v>0.75</v>
      </c>
    </row>
    <row r="416" spans="1:10" s="54" customFormat="1" ht="12.75">
      <c r="A416" s="138"/>
      <c r="B416" s="138"/>
      <c r="C416" s="138" t="s">
        <v>177</v>
      </c>
      <c r="D416" s="174" t="str">
        <f>IF(A416&gt;0,(LOOKUP(A416,'[1]Dz.'!A:A,'[1]Dz.'!B:B)),(IF(B416&gt;0,(LOOKUP(B416,'[1]Roz.'!A:A,'[1]Roz.'!B:B)),(IF(C416&gt;0,(LOOKUP(C416,'[1]par.'!A:A,'[1]par.'!B:B)),0)))))</f>
        <v>Podatek od nieruchomości</v>
      </c>
      <c r="E416" s="195">
        <v>3890</v>
      </c>
      <c r="F416" s="195"/>
      <c r="G416" s="195"/>
      <c r="H416" s="195">
        <f t="shared" si="22"/>
        <v>3890</v>
      </c>
      <c r="I416" s="262">
        <v>1884</v>
      </c>
      <c r="J416" s="223">
        <f t="shared" si="21"/>
        <v>0.48431876606683805</v>
      </c>
    </row>
    <row r="417" spans="1:10" s="54" customFormat="1" ht="12.75">
      <c r="A417" s="138"/>
      <c r="B417" s="138"/>
      <c r="C417" s="138" t="s">
        <v>203</v>
      </c>
      <c r="D417" s="174" t="str">
        <f>IF(A417&gt;0,(LOOKUP(A417,'[1]Dz.'!A:A,'[1]Dz.'!B:B)),(IF(B417&gt;0,(LOOKUP(B417,'[1]Roz.'!A:A,'[1]Roz.'!B:B)),(IF(C417&gt;0,(LOOKUP(C417,'[1]par.'!A:A,'[1]par.'!B:B)),0)))))</f>
        <v>Opłaty na rzecz budżetu państwa</v>
      </c>
      <c r="E417" s="195">
        <v>42</v>
      </c>
      <c r="F417" s="195"/>
      <c r="G417" s="195"/>
      <c r="H417" s="195">
        <f t="shared" si="22"/>
        <v>42</v>
      </c>
      <c r="I417" s="262">
        <v>41.87</v>
      </c>
      <c r="J417" s="223">
        <f t="shared" si="21"/>
        <v>0.9969047619047618</v>
      </c>
    </row>
    <row r="418" spans="1:10" s="54" customFormat="1" ht="38.25">
      <c r="A418" s="138"/>
      <c r="B418" s="138"/>
      <c r="C418" s="150" t="s">
        <v>181</v>
      </c>
      <c r="D418" s="174" t="str">
        <f>IF(A418&gt;0,(LOOKUP(A418,'[1]Dz.'!A:A,'[1]Dz.'!B:B)),(IF(B418&gt;0,(LOOKUP(B418,'[1]Roz.'!A:A,'[1]Roz.'!B:B)),(IF(C418&gt;0,(LOOKUP(C418,'[1]par.'!A:A,'[1]par.'!B:B)),0)))))</f>
        <v>Zakup materiałów papierniczych do sprzętu drukarskego i urządzeń kserograficznych</v>
      </c>
      <c r="E418" s="195">
        <v>1000</v>
      </c>
      <c r="F418" s="195"/>
      <c r="G418" s="195"/>
      <c r="H418" s="195">
        <f t="shared" si="22"/>
        <v>1000</v>
      </c>
      <c r="I418" s="262"/>
      <c r="J418" s="223">
        <f t="shared" si="21"/>
        <v>0</v>
      </c>
    </row>
    <row r="419" spans="1:10" s="54" customFormat="1" ht="25.5">
      <c r="A419" s="138"/>
      <c r="B419" s="138"/>
      <c r="C419" s="138" t="s">
        <v>183</v>
      </c>
      <c r="D419" s="139" t="str">
        <f>IF(A419&gt;0,(LOOKUP(A419,'[1]Dz.'!A:A,'[1]Dz.'!B:B)),(IF(B419&gt;0,(LOOKUP(B419,'[1]Roz.'!A:A,'[1]Roz.'!B:B)),(IF(C419&gt;0,(LOOKUP(C419,'[1]par.'!A:A,'[1]par.'!B:B)),0)))))</f>
        <v>Wydatki inwestycyjne jednostek budżetowych</v>
      </c>
      <c r="E419" s="195"/>
      <c r="F419" s="195">
        <v>70000</v>
      </c>
      <c r="G419" s="195"/>
      <c r="H419" s="195">
        <f t="shared" si="22"/>
        <v>70000</v>
      </c>
      <c r="I419" s="262"/>
      <c r="J419" s="223">
        <f t="shared" si="21"/>
        <v>0</v>
      </c>
    </row>
    <row r="420" spans="1:10" s="137" customFormat="1" ht="25.5">
      <c r="A420" s="134"/>
      <c r="B420" s="135" t="s">
        <v>253</v>
      </c>
      <c r="C420" s="135"/>
      <c r="D420" s="175" t="str">
        <f>IF(A420&gt;0,(LOOKUP(A420,'[1]Dz.'!A:A,'[1]Dz.'!B:B)),(IF(B420&gt;0,(LOOKUP(B420,'[1]Roz.'!A:A,'[1]Roz.'!B:B)),(IF(C420&gt;0,(LOOKUP(C420,'[1]par.'!A:A,'[1]par.'!B:B)),0)))))</f>
        <v>Dokształcanie i doskonalenie nauczycieli</v>
      </c>
      <c r="E420" s="192">
        <f>E421</f>
        <v>0</v>
      </c>
      <c r="F420" s="192">
        <f>F421</f>
        <v>0</v>
      </c>
      <c r="G420" s="192">
        <f>G421</f>
        <v>0</v>
      </c>
      <c r="H420" s="192">
        <f t="shared" si="22"/>
        <v>0</v>
      </c>
      <c r="I420" s="265">
        <f>I421</f>
        <v>0</v>
      </c>
      <c r="J420" s="226"/>
    </row>
    <row r="421" spans="1:10" s="54" customFormat="1" ht="12.75">
      <c r="A421" s="138"/>
      <c r="B421" s="138"/>
      <c r="C421" s="138" t="s">
        <v>157</v>
      </c>
      <c r="D421" s="174" t="str">
        <f>IF(A421&gt;0,(LOOKUP(A421,'[1]Dz.'!A:A,'[1]Dz.'!B:B)),(IF(B421&gt;0,(LOOKUP(B421,'[1]Roz.'!A:A,'[1]Roz.'!B:B)),(IF(C421&gt;0,(LOOKUP(C421,'[1]par.'!A:A,'[1]par.'!B:B)),0)))))</f>
        <v>Zakup usług pozostałych</v>
      </c>
      <c r="E421" s="195">
        <v>0</v>
      </c>
      <c r="F421" s="195"/>
      <c r="G421" s="195"/>
      <c r="H421" s="195">
        <f t="shared" si="22"/>
        <v>0</v>
      </c>
      <c r="I421" s="262"/>
      <c r="J421" s="223"/>
    </row>
    <row r="422" spans="1:10" s="137" customFormat="1" ht="12.75">
      <c r="A422" s="134"/>
      <c r="B422" s="135" t="s">
        <v>136</v>
      </c>
      <c r="C422" s="135"/>
      <c r="D422" s="175" t="str">
        <f>IF(A422&gt;0,(LOOKUP(A422,'[1]Dz.'!A:A,'[1]Dz.'!B:B)),(IF(B422&gt;0,(LOOKUP(B422,'[1]Roz.'!A:A,'[1]Roz.'!B:B)),(IF(C422&gt;0,(LOOKUP(C422,'[1]par.'!A:A,'[1]par.'!B:B)),0)))))</f>
        <v>Pozostała działalność</v>
      </c>
      <c r="E422" s="192">
        <f>E425</f>
        <v>5000</v>
      </c>
      <c r="F422" s="192">
        <f>F425</f>
        <v>0</v>
      </c>
      <c r="G422" s="192">
        <f>G425</f>
        <v>0</v>
      </c>
      <c r="H422" s="192">
        <f t="shared" si="22"/>
        <v>5000</v>
      </c>
      <c r="I422" s="265">
        <f>I425</f>
        <v>1023.99</v>
      </c>
      <c r="J422" s="226">
        <f aca="true" t="shared" si="23" ref="J422:J453">I422/H422</f>
        <v>0.204798</v>
      </c>
    </row>
    <row r="423" spans="1:10" s="54" customFormat="1" ht="12.75" hidden="1">
      <c r="A423" s="138"/>
      <c r="B423" s="138"/>
      <c r="C423" s="138" t="s">
        <v>156</v>
      </c>
      <c r="D423" s="174" t="str">
        <f>IF(A423&gt;0,(LOOKUP(A423,'[1]Dz.'!A:A,'[1]Dz.'!B:B)),(IF(B423&gt;0,(LOOKUP(B423,'[1]Roz.'!A:A,'[1]Roz.'!B:B)),(IF(C423&gt;0,(LOOKUP(C423,'[1]par.'!A:A,'[1]par.'!B:B)),0)))))</f>
        <v>Zakup materiałów i wyposażenia</v>
      </c>
      <c r="E423" s="195">
        <v>0</v>
      </c>
      <c r="F423" s="195"/>
      <c r="G423" s="195"/>
      <c r="H423" s="195">
        <f t="shared" si="22"/>
        <v>0</v>
      </c>
      <c r="I423" s="262"/>
      <c r="J423" s="223" t="e">
        <f t="shared" si="23"/>
        <v>#DIV/0!</v>
      </c>
    </row>
    <row r="424" spans="1:10" s="54" customFormat="1" ht="12.75" hidden="1">
      <c r="A424" s="138"/>
      <c r="B424" s="138"/>
      <c r="C424" s="138" t="s">
        <v>157</v>
      </c>
      <c r="D424" s="174" t="str">
        <f>IF(A424&gt;0,(LOOKUP(A424,'[1]Dz.'!A:A,'[1]Dz.'!B:B)),(IF(B424&gt;0,(LOOKUP(B424,'[1]Roz.'!A:A,'[1]Roz.'!B:B)),(IF(C424&gt;0,(LOOKUP(C424,'[1]par.'!A:A,'[1]par.'!B:B)),0)))))</f>
        <v>Zakup usług pozostałych</v>
      </c>
      <c r="E424" s="195">
        <v>0</v>
      </c>
      <c r="F424" s="195"/>
      <c r="G424" s="195"/>
      <c r="H424" s="195">
        <f t="shared" si="22"/>
        <v>0</v>
      </c>
      <c r="I424" s="262"/>
      <c r="J424" s="223" t="e">
        <f t="shared" si="23"/>
        <v>#DIV/0!</v>
      </c>
    </row>
    <row r="425" spans="1:10" s="54" customFormat="1" ht="25.5">
      <c r="A425" s="147"/>
      <c r="B425" s="147"/>
      <c r="C425" s="147" t="s">
        <v>193</v>
      </c>
      <c r="D425" s="181" t="str">
        <f>IF(A425&gt;0,(LOOKUP(A425,'[1]Dz.'!A:A,'[1]Dz.'!B:B)),(IF(B425&gt;0,(LOOKUP(B425,'[1]Roz.'!A:A,'[1]Roz.'!B:B)),(IF(C425&gt;0,(LOOKUP(C425,'[1]par.'!A:A,'[1]par.'!B:B)),0)))))</f>
        <v>Koszty postępowania sądowego i prokuratorskiego</v>
      </c>
      <c r="E425" s="201">
        <v>5000</v>
      </c>
      <c r="F425" s="201"/>
      <c r="G425" s="201"/>
      <c r="H425" s="201">
        <f t="shared" si="22"/>
        <v>5000</v>
      </c>
      <c r="I425" s="266">
        <v>1023.99</v>
      </c>
      <c r="J425" s="227">
        <f t="shared" si="23"/>
        <v>0.204798</v>
      </c>
    </row>
    <row r="426" spans="1:10" s="54" customFormat="1" ht="12.75">
      <c r="A426" s="41">
        <v>854</v>
      </c>
      <c r="B426" s="41"/>
      <c r="C426" s="49"/>
      <c r="D426" s="50" t="str">
        <f>IF(A426&gt;0,(LOOKUP(A426,'[1]Dz.'!A:A,'[1]Dz.'!B:B)),(IF(B426&gt;0,(LOOKUP(B426,'[1]Roz.'!A:A,'[1]Roz.'!B:B)),(IF(C426&gt;0,(LOOKUP(C426,'[1]par.'!A:A,'[1]par.'!B:B)),0)))))</f>
        <v>Edukacyjna opieka wychowawcza</v>
      </c>
      <c r="E426" s="190">
        <f>E427+E449+E471+E490+E508+E510+E518+E525</f>
        <v>3130831</v>
      </c>
      <c r="F426" s="190">
        <f>F427+F449+F471+F490+F508+F510+F518+F525</f>
        <v>771893</v>
      </c>
      <c r="G426" s="190">
        <f>G427+G449+G471+G490+G508+G510+G518+G525</f>
        <v>348</v>
      </c>
      <c r="H426" s="190">
        <f t="shared" si="22"/>
        <v>3902376</v>
      </c>
      <c r="I426" s="276">
        <f>I427+I449+I471+I490+I508+I510+I518+I525</f>
        <v>2118490.32</v>
      </c>
      <c r="J426" s="237">
        <f t="shared" si="23"/>
        <v>0.5428719118813768</v>
      </c>
    </row>
    <row r="427" spans="1:10" s="137" customFormat="1" ht="25.5">
      <c r="A427" s="134"/>
      <c r="B427" s="135" t="s">
        <v>137</v>
      </c>
      <c r="C427" s="157"/>
      <c r="D427" s="175" t="str">
        <f>IF(A427&gt;0,(LOOKUP(A427,'[1]Dz.'!A:A,'[1]Dz.'!B:B)),(IF(B427&gt;0,(LOOKUP(B427,'[1]Roz.'!A:A,'[1]Roz.'!B:B)),(IF(C427&gt;0,(LOOKUP(C427,'[1]par.'!A:A,'[1]par.'!B:B)),0)))))</f>
        <v>Specjalne ośrodki szkolno-wychowawcze</v>
      </c>
      <c r="E427" s="192">
        <f>SUM(E428:E448)</f>
        <v>1104131</v>
      </c>
      <c r="F427" s="192">
        <f>SUM(F428:F448)</f>
        <v>57680</v>
      </c>
      <c r="G427" s="192">
        <f>SUM(G428:G448)</f>
        <v>0</v>
      </c>
      <c r="H427" s="192">
        <f t="shared" si="22"/>
        <v>1161811</v>
      </c>
      <c r="I427" s="265">
        <f>SUM(I428:I448)</f>
        <v>630050.99</v>
      </c>
      <c r="J427" s="226">
        <f t="shared" si="23"/>
        <v>0.5423007614835804</v>
      </c>
    </row>
    <row r="428" spans="1:10" s="54" customFormat="1" ht="25.5">
      <c r="A428" s="138"/>
      <c r="B428" s="138"/>
      <c r="C428" s="150" t="s">
        <v>161</v>
      </c>
      <c r="D428" s="174" t="str">
        <f>IF(A428&gt;0,(LOOKUP(A428,'[1]Dz.'!A:A,'[1]Dz.'!B:B)),(IF(B428&gt;0,(LOOKUP(B428,'[1]Roz.'!A:A,'[1]Roz.'!B:B)),(IF(C428&gt;0,(LOOKUP(C428,'[1]par.'!A:A,'[1]par.'!B:B)),0)))))</f>
        <v>Nagrody i wydatki osobowe nie zaliczone do wynagrodzeń</v>
      </c>
      <c r="E428" s="195">
        <v>3660</v>
      </c>
      <c r="F428" s="195"/>
      <c r="G428" s="194"/>
      <c r="H428" s="195">
        <f t="shared" si="22"/>
        <v>3660</v>
      </c>
      <c r="I428" s="273">
        <v>29.99</v>
      </c>
      <c r="J428" s="234">
        <f t="shared" si="23"/>
        <v>0.00819398907103825</v>
      </c>
    </row>
    <row r="429" spans="1:10" s="54" customFormat="1" ht="12.75">
      <c r="A429" s="138"/>
      <c r="B429" s="138"/>
      <c r="C429" s="150" t="s">
        <v>163</v>
      </c>
      <c r="D429" s="174" t="str">
        <f>IF(A429&gt;0,(LOOKUP(A429,'[1]Dz.'!A:A,'[1]Dz.'!B:B)),(IF(B429&gt;0,(LOOKUP(B429,'[1]Roz.'!A:A,'[1]Roz.'!B:B)),(IF(C429&gt;0,(LOOKUP(C429,'[1]par.'!A:A,'[1]par.'!B:B)),0)))))</f>
        <v>Wynagrodzenia osobowe pracowników</v>
      </c>
      <c r="E429" s="195">
        <v>650029</v>
      </c>
      <c r="F429" s="195"/>
      <c r="G429" s="194"/>
      <c r="H429" s="195">
        <f t="shared" si="22"/>
        <v>650029</v>
      </c>
      <c r="I429" s="273">
        <v>330479.95</v>
      </c>
      <c r="J429" s="234">
        <f t="shared" si="23"/>
        <v>0.5084080094888075</v>
      </c>
    </row>
    <row r="430" spans="1:10" s="54" customFormat="1" ht="12.75">
      <c r="A430" s="138"/>
      <c r="B430" s="138"/>
      <c r="C430" s="150" t="s">
        <v>164</v>
      </c>
      <c r="D430" s="174" t="str">
        <f>IF(A430&gt;0,(LOOKUP(A430,'[1]Dz.'!A:A,'[1]Dz.'!B:B)),(IF(B430&gt;0,(LOOKUP(B430,'[1]Roz.'!A:A,'[1]Roz.'!B:B)),(IF(C430&gt;0,(LOOKUP(C430,'[1]par.'!A:A,'[1]par.'!B:B)),0)))))</f>
        <v>Dodatkowe wynagrodzenie roczne</v>
      </c>
      <c r="E430" s="195">
        <v>45424</v>
      </c>
      <c r="F430" s="195"/>
      <c r="G430" s="194"/>
      <c r="H430" s="195">
        <f t="shared" si="22"/>
        <v>45424</v>
      </c>
      <c r="I430" s="273">
        <v>45423.21</v>
      </c>
      <c r="J430" s="234">
        <f t="shared" si="23"/>
        <v>0.9999826083127862</v>
      </c>
    </row>
    <row r="431" spans="1:10" s="54" customFormat="1" ht="12.75">
      <c r="A431" s="138"/>
      <c r="B431" s="138"/>
      <c r="C431" s="150" t="s">
        <v>165</v>
      </c>
      <c r="D431" s="174" t="str">
        <f>IF(A431&gt;0,(LOOKUP(A431,'[1]Dz.'!A:A,'[1]Dz.'!B:B)),(IF(B431&gt;0,(LOOKUP(B431,'[1]Roz.'!A:A,'[1]Roz.'!B:B)),(IF(C431&gt;0,(LOOKUP(C431,'[1]par.'!A:A,'[1]par.'!B:B)),0)))))</f>
        <v>Składki na ubezpieczenia społeczne</v>
      </c>
      <c r="E431" s="195">
        <v>116747</v>
      </c>
      <c r="F431" s="195"/>
      <c r="G431" s="194"/>
      <c r="H431" s="195">
        <f t="shared" si="22"/>
        <v>116747</v>
      </c>
      <c r="I431" s="273">
        <v>60901.17</v>
      </c>
      <c r="J431" s="234">
        <f t="shared" si="23"/>
        <v>0.5216508347109562</v>
      </c>
    </row>
    <row r="432" spans="1:10" s="54" customFormat="1" ht="12.75">
      <c r="A432" s="138"/>
      <c r="B432" s="138"/>
      <c r="C432" s="150" t="s">
        <v>166</v>
      </c>
      <c r="D432" s="174" t="str">
        <f>IF(A432&gt;0,(LOOKUP(A432,'[1]Dz.'!A:A,'[1]Dz.'!B:B)),(IF(B432&gt;0,(LOOKUP(B432,'[1]Roz.'!A:A,'[1]Roz.'!B:B)),(IF(C432&gt;0,(LOOKUP(C432,'[1]par.'!A:A,'[1]par.'!B:B)),0)))))</f>
        <v>Składki na Fundusz Pracy</v>
      </c>
      <c r="E432" s="195">
        <v>16610</v>
      </c>
      <c r="F432" s="195"/>
      <c r="G432" s="194"/>
      <c r="H432" s="195">
        <f t="shared" si="22"/>
        <v>16610</v>
      </c>
      <c r="I432" s="273">
        <v>8664.85</v>
      </c>
      <c r="J432" s="234">
        <f t="shared" si="23"/>
        <v>0.5216646598434678</v>
      </c>
    </row>
    <row r="433" spans="1:10" s="54" customFormat="1" ht="12.75">
      <c r="A433" s="138"/>
      <c r="B433" s="138"/>
      <c r="C433" s="150" t="s">
        <v>168</v>
      </c>
      <c r="D433" s="174" t="str">
        <f>IF(A433&gt;0,(LOOKUP(A433,'[1]Dz.'!A:A,'[1]Dz.'!B:B)),(IF(B433&gt;0,(LOOKUP(B433,'[1]Roz.'!A:A,'[1]Roz.'!B:B)),(IF(C433&gt;0,(LOOKUP(C433,'[1]par.'!A:A,'[1]par.'!B:B)),0)))))</f>
        <v>Wynagrodzenia bezosobowe</v>
      </c>
      <c r="E433" s="195">
        <v>3000</v>
      </c>
      <c r="F433" s="195"/>
      <c r="G433" s="194"/>
      <c r="H433" s="195">
        <f t="shared" si="22"/>
        <v>3000</v>
      </c>
      <c r="I433" s="273">
        <v>1780</v>
      </c>
      <c r="J433" s="234">
        <f t="shared" si="23"/>
        <v>0.5933333333333334</v>
      </c>
    </row>
    <row r="434" spans="1:10" s="54" customFormat="1" ht="12.75">
      <c r="A434" s="138"/>
      <c r="B434" s="138"/>
      <c r="C434" s="150" t="s">
        <v>156</v>
      </c>
      <c r="D434" s="174" t="str">
        <f>IF(A434&gt;0,(LOOKUP(A434,'[1]Dz.'!A:A,'[1]Dz.'!B:B)),(IF(B434&gt;0,(LOOKUP(B434,'[1]Roz.'!A:A,'[1]Roz.'!B:B)),(IF(C434&gt;0,(LOOKUP(C434,'[1]par.'!A:A,'[1]par.'!B:B)),0)))))</f>
        <v>Zakup materiałów i wyposażenia</v>
      </c>
      <c r="E434" s="195">
        <v>41012</v>
      </c>
      <c r="F434" s="195"/>
      <c r="G434" s="194"/>
      <c r="H434" s="195">
        <f t="shared" si="22"/>
        <v>41012</v>
      </c>
      <c r="I434" s="273">
        <v>23320.84</v>
      </c>
      <c r="J434" s="234">
        <f t="shared" si="23"/>
        <v>0.5686345459865405</v>
      </c>
    </row>
    <row r="435" spans="1:10" s="54" customFormat="1" ht="12.75">
      <c r="A435" s="138"/>
      <c r="B435" s="138"/>
      <c r="C435" s="150" t="s">
        <v>245</v>
      </c>
      <c r="D435" s="174" t="str">
        <f>IF(A435&gt;0,(LOOKUP(A435,'[1]Dz.'!A:A,'[1]Dz.'!B:B)),(IF(B435&gt;0,(LOOKUP(B435,'[1]Roz.'!A:A,'[1]Roz.'!B:B)),(IF(C435&gt;0,(LOOKUP(C435,'[1]par.'!A:A,'[1]par.'!B:B)),0)))))</f>
        <v>Zakup środków żwyności</v>
      </c>
      <c r="E435" s="195">
        <v>90846</v>
      </c>
      <c r="F435" s="195"/>
      <c r="G435" s="194"/>
      <c r="H435" s="195">
        <f t="shared" si="22"/>
        <v>90846</v>
      </c>
      <c r="I435" s="273">
        <v>35611.63</v>
      </c>
      <c r="J435" s="234">
        <f t="shared" si="23"/>
        <v>0.39199997798472136</v>
      </c>
    </row>
    <row r="436" spans="1:10" s="54" customFormat="1" ht="25.5">
      <c r="A436" s="138"/>
      <c r="B436" s="138"/>
      <c r="C436" s="150" t="s">
        <v>213</v>
      </c>
      <c r="D436" s="174" t="str">
        <f>IF(A436&gt;0,(LOOKUP(A436,'[1]Dz.'!A:A,'[1]Dz.'!B:B)),(IF(B436&gt;0,(LOOKUP(B436,'[1]Roz.'!A:A,'[1]Roz.'!B:B)),(IF(C436&gt;0,(LOOKUP(C436,'[1]par.'!A:A,'[1]par.'!B:B)),0)))))</f>
        <v>Zakup pomocy naukowych, dydaktycznych i książek</v>
      </c>
      <c r="E436" s="195">
        <v>1000</v>
      </c>
      <c r="F436" s="195"/>
      <c r="G436" s="194"/>
      <c r="H436" s="195">
        <f t="shared" si="22"/>
        <v>1000</v>
      </c>
      <c r="I436" s="273">
        <v>201.46</v>
      </c>
      <c r="J436" s="234">
        <f t="shared" si="23"/>
        <v>0.20146</v>
      </c>
    </row>
    <row r="437" spans="1:10" s="54" customFormat="1" ht="12.75">
      <c r="A437" s="138"/>
      <c r="B437" s="138"/>
      <c r="C437" s="150" t="s">
        <v>169</v>
      </c>
      <c r="D437" s="174" t="str">
        <f>IF(A437&gt;0,(LOOKUP(A437,'[1]Dz.'!A:A,'[1]Dz.'!B:B)),(IF(B437&gt;0,(LOOKUP(B437,'[1]Roz.'!A:A,'[1]Roz.'!B:B)),(IF(C437&gt;0,(LOOKUP(C437,'[1]par.'!A:A,'[1]par.'!B:B)),0)))))</f>
        <v>Zakup energii</v>
      </c>
      <c r="E437" s="195">
        <v>45000</v>
      </c>
      <c r="F437" s="195">
        <v>44000</v>
      </c>
      <c r="G437" s="194"/>
      <c r="H437" s="195">
        <f t="shared" si="22"/>
        <v>89000</v>
      </c>
      <c r="I437" s="273">
        <v>63654.47</v>
      </c>
      <c r="J437" s="234">
        <f t="shared" si="23"/>
        <v>0.7152187640449439</v>
      </c>
    </row>
    <row r="438" spans="1:10" s="54" customFormat="1" ht="12.75">
      <c r="A438" s="138"/>
      <c r="B438" s="138"/>
      <c r="C438" s="150" t="s">
        <v>170</v>
      </c>
      <c r="D438" s="174" t="str">
        <f>IF(A438&gt;0,(LOOKUP(A438,'[1]Dz.'!A:A,'[1]Dz.'!B:B)),(IF(B438&gt;0,(LOOKUP(B438,'[1]Roz.'!A:A,'[1]Roz.'!B:B)),(IF(C438&gt;0,(LOOKUP(C438,'[1]par.'!A:A,'[1]par.'!B:B)),0)))))</f>
        <v>Zakup usług remontowych</v>
      </c>
      <c r="E438" s="195">
        <v>14762</v>
      </c>
      <c r="F438" s="195">
        <v>13680</v>
      </c>
      <c r="G438" s="194"/>
      <c r="H438" s="195">
        <f t="shared" si="22"/>
        <v>28442</v>
      </c>
      <c r="I438" s="273">
        <v>18478.23</v>
      </c>
      <c r="J438" s="234">
        <f t="shared" si="23"/>
        <v>0.6496811054074959</v>
      </c>
    </row>
    <row r="439" spans="1:10" s="54" customFormat="1" ht="12.75">
      <c r="A439" s="138"/>
      <c r="B439" s="138"/>
      <c r="C439" s="150" t="s">
        <v>194</v>
      </c>
      <c r="D439" s="174" t="str">
        <f>IF(A439&gt;0,(LOOKUP(A439,'[1]Dz.'!A:A,'[1]Dz.'!B:B)),(IF(B439&gt;0,(LOOKUP(B439,'[1]Roz.'!A:A,'[1]Roz.'!B:B)),(IF(C439&gt;0,(LOOKUP(C439,'[1]par.'!A:A,'[1]par.'!B:B)),0)))))</f>
        <v>Zakup usług zdrowotnych</v>
      </c>
      <c r="E439" s="195">
        <v>880</v>
      </c>
      <c r="F439" s="195"/>
      <c r="G439" s="194"/>
      <c r="H439" s="195">
        <f t="shared" si="22"/>
        <v>880</v>
      </c>
      <c r="I439" s="273">
        <v>155</v>
      </c>
      <c r="J439" s="234">
        <f t="shared" si="23"/>
        <v>0.17613636363636365</v>
      </c>
    </row>
    <row r="440" spans="1:10" s="54" customFormat="1" ht="12.75">
      <c r="A440" s="138"/>
      <c r="B440" s="138"/>
      <c r="C440" s="150" t="s">
        <v>157</v>
      </c>
      <c r="D440" s="174" t="str">
        <f>IF(A440&gt;0,(LOOKUP(A440,'[1]Dz.'!A:A,'[1]Dz.'!B:B)),(IF(B440&gt;0,(LOOKUP(B440,'[1]Roz.'!A:A,'[1]Roz.'!B:B)),(IF(C440&gt;0,(LOOKUP(C440,'[1]par.'!A:A,'[1]par.'!B:B)),0)))))</f>
        <v>Zakup usług pozostałych</v>
      </c>
      <c r="E440" s="195">
        <v>17097</v>
      </c>
      <c r="F440" s="195"/>
      <c r="G440" s="194"/>
      <c r="H440" s="195">
        <f t="shared" si="22"/>
        <v>17097</v>
      </c>
      <c r="I440" s="273">
        <v>8248.99</v>
      </c>
      <c r="J440" s="234">
        <f t="shared" si="23"/>
        <v>0.48248172193952155</v>
      </c>
    </row>
    <row r="441" spans="1:10" s="54" customFormat="1" ht="12.75">
      <c r="A441" s="138"/>
      <c r="B441" s="138"/>
      <c r="C441" s="150" t="s">
        <v>171</v>
      </c>
      <c r="D441" s="174" t="str">
        <f>IF(A441&gt;0,(LOOKUP(A441,'[1]Dz.'!A:A,'[1]Dz.'!B:B)),(IF(B441&gt;0,(LOOKUP(B441,'[1]Roz.'!A:A,'[1]Roz.'!B:B)),(IF(C441&gt;0,(LOOKUP(C441,'[1]par.'!A:A,'[1]par.'!B:B)),0)))))</f>
        <v>Zakup dostępu do sieci internet</v>
      </c>
      <c r="E441" s="195">
        <v>998</v>
      </c>
      <c r="F441" s="195"/>
      <c r="G441" s="194"/>
      <c r="H441" s="195">
        <f t="shared" si="22"/>
        <v>998</v>
      </c>
      <c r="I441" s="273">
        <v>499.47</v>
      </c>
      <c r="J441" s="234">
        <f t="shared" si="23"/>
        <v>0.5004709418837676</v>
      </c>
    </row>
    <row r="442" spans="1:10" s="54" customFormat="1" ht="38.25">
      <c r="A442" s="138"/>
      <c r="B442" s="138"/>
      <c r="C442" s="150" t="s">
        <v>173</v>
      </c>
      <c r="D442" s="174" t="str">
        <f>IF(A442&gt;0,(LOOKUP(A442,'[1]Dz.'!A:A,'[1]Dz.'!B:B)),(IF(B442&gt;0,(LOOKUP(B442,'[1]Roz.'!A:A,'[1]Roz.'!B:B)),(IF(C442&gt;0,(LOOKUP(C442,'[1]par.'!A:A,'[1]par.'!B:B)),0)))))</f>
        <v>Opłaty z tytułu zakupu usług telekomunikacyjnych telefonii stacjonarnej</v>
      </c>
      <c r="E442" s="195">
        <v>6600</v>
      </c>
      <c r="F442" s="195"/>
      <c r="G442" s="194"/>
      <c r="H442" s="195">
        <f t="shared" si="22"/>
        <v>6600</v>
      </c>
      <c r="I442" s="273">
        <v>2120.79</v>
      </c>
      <c r="J442" s="234">
        <f t="shared" si="23"/>
        <v>0.32133181818181816</v>
      </c>
    </row>
    <row r="443" spans="1:10" s="54" customFormat="1" ht="12.75">
      <c r="A443" s="138"/>
      <c r="B443" s="138"/>
      <c r="C443" s="150" t="s">
        <v>174</v>
      </c>
      <c r="D443" s="174" t="str">
        <f>IF(A443&gt;0,(LOOKUP(A443,'[1]Dz.'!A:A,'[1]Dz.'!B:B)),(IF(B443&gt;0,(LOOKUP(B443,'[1]Roz.'!A:A,'[1]Roz.'!B:B)),(IF(C443&gt;0,(LOOKUP(C443,'[1]par.'!A:A,'[1]par.'!B:B)),0)))))</f>
        <v>Podróże służbowe krajowe</v>
      </c>
      <c r="E443" s="195">
        <v>1500</v>
      </c>
      <c r="F443" s="195"/>
      <c r="G443" s="194"/>
      <c r="H443" s="195">
        <f t="shared" si="22"/>
        <v>1500</v>
      </c>
      <c r="I443" s="273">
        <v>1420.94</v>
      </c>
      <c r="J443" s="234">
        <f t="shared" si="23"/>
        <v>0.9472933333333333</v>
      </c>
    </row>
    <row r="444" spans="1:10" s="54" customFormat="1" ht="12.75">
      <c r="A444" s="138"/>
      <c r="B444" s="138"/>
      <c r="C444" s="150" t="s">
        <v>175</v>
      </c>
      <c r="D444" s="174" t="str">
        <f>IF(A444&gt;0,(LOOKUP(A444,'[1]Dz.'!A:A,'[1]Dz.'!B:B)),(IF(B444&gt;0,(LOOKUP(B444,'[1]Roz.'!A:A,'[1]Roz.'!B:B)),(IF(C444&gt;0,(LOOKUP(C444,'[1]par.'!A:A,'[1]par.'!B:B)),0)))))</f>
        <v>Różne opłaty i składki</v>
      </c>
      <c r="E444" s="195">
        <v>16313</v>
      </c>
      <c r="F444" s="195"/>
      <c r="G444" s="194"/>
      <c r="H444" s="195">
        <f t="shared" si="22"/>
        <v>16313</v>
      </c>
      <c r="I444" s="273">
        <v>5791</v>
      </c>
      <c r="J444" s="234">
        <f t="shared" si="23"/>
        <v>0.35499295040765033</v>
      </c>
    </row>
    <row r="445" spans="1:10" s="54" customFormat="1" ht="25.5">
      <c r="A445" s="138"/>
      <c r="B445" s="138"/>
      <c r="C445" s="150" t="s">
        <v>176</v>
      </c>
      <c r="D445" s="174" t="str">
        <f>IF(A445&gt;0,(LOOKUP(A445,'[1]Dz.'!A:A,'[1]Dz.'!B:B)),(IF(B445&gt;0,(LOOKUP(B445,'[1]Roz.'!A:A,'[1]Roz.'!B:B)),(IF(C445&gt;0,(LOOKUP(C445,'[1]par.'!A:A,'[1]par.'!B:B)),0)))))</f>
        <v>Odpisy na zakladowy fundusz świadczeń socjalnych</v>
      </c>
      <c r="E445" s="195">
        <v>29670</v>
      </c>
      <c r="F445" s="195"/>
      <c r="G445" s="194"/>
      <c r="H445" s="195">
        <f t="shared" si="22"/>
        <v>29670</v>
      </c>
      <c r="I445" s="273">
        <v>22500</v>
      </c>
      <c r="J445" s="234">
        <f t="shared" si="23"/>
        <v>0.7583417593528817</v>
      </c>
    </row>
    <row r="446" spans="1:10" s="54" customFormat="1" ht="12.75">
      <c r="A446" s="138"/>
      <c r="B446" s="138"/>
      <c r="C446" s="150" t="s">
        <v>180</v>
      </c>
      <c r="D446" s="174" t="str">
        <f>IF(A446&gt;0,(LOOKUP(A446,'[1]Dz.'!A:A,'[1]Dz.'!B:B)),(IF(B446&gt;0,(LOOKUP(B446,'[1]Roz.'!A:A,'[1]Roz.'!B:B)),(IF(C446&gt;0,(LOOKUP(C446,'[1]par.'!A:A,'[1]par.'!B:B)),0)))))</f>
        <v>Szkolenia pracowników</v>
      </c>
      <c r="E446" s="195">
        <v>500</v>
      </c>
      <c r="F446" s="195"/>
      <c r="G446" s="194"/>
      <c r="H446" s="195">
        <f t="shared" si="22"/>
        <v>500</v>
      </c>
      <c r="I446" s="273">
        <v>339.4</v>
      </c>
      <c r="J446" s="234">
        <f t="shared" si="23"/>
        <v>0.6788</v>
      </c>
    </row>
    <row r="447" spans="1:10" s="54" customFormat="1" ht="38.25">
      <c r="A447" s="138"/>
      <c r="B447" s="138"/>
      <c r="C447" s="150" t="s">
        <v>181</v>
      </c>
      <c r="D447" s="174" t="str">
        <f>IF(A447&gt;0,(LOOKUP(A447,'[1]Dz.'!A:A,'[1]Dz.'!B:B)),(IF(B447&gt;0,(LOOKUP(B447,'[1]Roz.'!A:A,'[1]Roz.'!B:B)),(IF(C447&gt;0,(LOOKUP(C447,'[1]par.'!A:A,'[1]par.'!B:B)),0)))))</f>
        <v>Zakup materiałów papierniczych do sprzętu drukarskego i urządzeń kserograficznych</v>
      </c>
      <c r="E447" s="195">
        <v>600</v>
      </c>
      <c r="F447" s="195"/>
      <c r="G447" s="194"/>
      <c r="H447" s="195">
        <f t="shared" si="22"/>
        <v>600</v>
      </c>
      <c r="I447" s="273"/>
      <c r="J447" s="234">
        <f t="shared" si="23"/>
        <v>0</v>
      </c>
    </row>
    <row r="448" spans="1:10" s="54" customFormat="1" ht="25.5">
      <c r="A448" s="138"/>
      <c r="B448" s="138"/>
      <c r="C448" s="150" t="s">
        <v>182</v>
      </c>
      <c r="D448" s="174" t="str">
        <f>IF(A448&gt;0,(LOOKUP(A448,'[1]Dz.'!A:A,'[1]Dz.'!B:B)),(IF(B448&gt;0,(LOOKUP(B448,'[1]Roz.'!A:A,'[1]Roz.'!B:B)),(IF(C448&gt;0,(LOOKUP(C448,'[1]par.'!A:A,'[1]par.'!B:B)),0)))))</f>
        <v>Zakup akcesoriów komputerowych, w tym programów i licencji</v>
      </c>
      <c r="E448" s="195">
        <v>1883</v>
      </c>
      <c r="F448" s="195"/>
      <c r="G448" s="194"/>
      <c r="H448" s="195">
        <f t="shared" si="22"/>
        <v>1883</v>
      </c>
      <c r="I448" s="273">
        <v>429.6</v>
      </c>
      <c r="J448" s="234">
        <f t="shared" si="23"/>
        <v>0.22814657461497612</v>
      </c>
    </row>
    <row r="449" spans="1:10" s="137" customFormat="1" ht="38.25">
      <c r="A449" s="134"/>
      <c r="B449" s="135" t="s">
        <v>138</v>
      </c>
      <c r="C449" s="157"/>
      <c r="D449" s="175" t="str">
        <f>IF(A449&gt;0,(LOOKUP(A449,'[1]Dz.'!A:A,'[1]Dz.'!B:B)),(IF(B449&gt;0,(LOOKUP(B449,'[1]Roz.'!A:A,'[1]Roz.'!B:B)),(IF(C449&gt;0,(LOOKUP(C449,'[1]par.'!A:A,'[1]par.'!B:B)),0)))))</f>
        <v>Poradnie psychologiczno-pedagogiczne oraz inne poradnie specjalistyczne</v>
      </c>
      <c r="E449" s="192">
        <f>SUM(E450:E470)</f>
        <v>710208</v>
      </c>
      <c r="F449" s="192">
        <f>SUM(F450:F470)</f>
        <v>55953</v>
      </c>
      <c r="G449" s="192">
        <f>SUM(G450:G470)</f>
        <v>245</v>
      </c>
      <c r="H449" s="192">
        <f t="shared" si="22"/>
        <v>765916</v>
      </c>
      <c r="I449" s="265">
        <f>SUM(I450:I470)</f>
        <v>365063.68000000005</v>
      </c>
      <c r="J449" s="226">
        <f t="shared" si="23"/>
        <v>0.4766367068973622</v>
      </c>
    </row>
    <row r="450" spans="1:10" s="54" customFormat="1" ht="51">
      <c r="A450" s="138"/>
      <c r="B450" s="138"/>
      <c r="C450" s="158" t="s">
        <v>225</v>
      </c>
      <c r="D450" s="174" t="str">
        <f>IF(A450&gt;0,(LOOKUP(A450,'[1]Dz.'!A:A,'[1]Dz.'!B:B)),(IF(B450&gt;0,(LOOKUP(B450,'[1]Roz.'!A:A,'[1]Roz.'!B:B)),(IF(C450&gt;0,(LOOKUP(C450,'[1]par.'!A:A,'[1]par.'!B:B)),0)))))</f>
        <v>Dotacje celowe przekazane dla powiatu na zadania bieżace realzowane na podstawie porozumień (umów) między jednostkami samorzadu terytorialego</v>
      </c>
      <c r="E450" s="195">
        <v>18000</v>
      </c>
      <c r="F450" s="195"/>
      <c r="G450" s="194"/>
      <c r="H450" s="195">
        <f t="shared" si="22"/>
        <v>18000</v>
      </c>
      <c r="I450" s="273">
        <v>9000</v>
      </c>
      <c r="J450" s="234">
        <f t="shared" si="23"/>
        <v>0.5</v>
      </c>
    </row>
    <row r="451" spans="1:10" s="54" customFormat="1" ht="25.5">
      <c r="A451" s="138"/>
      <c r="B451" s="138"/>
      <c r="C451" s="158" t="s">
        <v>161</v>
      </c>
      <c r="D451" s="174" t="str">
        <f>IF(A451&gt;0,(LOOKUP(A451,'[1]Dz.'!A:A,'[1]Dz.'!B:B)),(IF(B451&gt;0,(LOOKUP(B451,'[1]Roz.'!A:A,'[1]Roz.'!B:B)),(IF(C451&gt;0,(LOOKUP(C451,'[1]par.'!A:A,'[1]par.'!B:B)),0)))))</f>
        <v>Nagrody i wydatki osobowe nie zaliczone do wynagrodzeń</v>
      </c>
      <c r="E451" s="195">
        <v>1727</v>
      </c>
      <c r="F451" s="195"/>
      <c r="G451" s="194"/>
      <c r="H451" s="195">
        <f t="shared" si="22"/>
        <v>1727</v>
      </c>
      <c r="I451" s="273">
        <v>300</v>
      </c>
      <c r="J451" s="234">
        <f t="shared" si="23"/>
        <v>0.17371163867979156</v>
      </c>
    </row>
    <row r="452" spans="1:10" s="54" customFormat="1" ht="12.75">
      <c r="A452" s="138"/>
      <c r="B452" s="138"/>
      <c r="C452" s="158" t="s">
        <v>163</v>
      </c>
      <c r="D452" s="174" t="str">
        <f>IF(A452&gt;0,(LOOKUP(A452,'[1]Dz.'!A:A,'[1]Dz.'!B:B)),(IF(B452&gt;0,(LOOKUP(B452,'[1]Roz.'!A:A,'[1]Roz.'!B:B)),(IF(C452&gt;0,(LOOKUP(C452,'[1]par.'!A:A,'[1]par.'!B:B)),0)))))</f>
        <v>Wynagrodzenia osobowe pracowników</v>
      </c>
      <c r="E452" s="195">
        <v>458610</v>
      </c>
      <c r="F452" s="195">
        <f>245+48233</f>
        <v>48478</v>
      </c>
      <c r="G452" s="194"/>
      <c r="H452" s="195">
        <f t="shared" si="22"/>
        <v>507088</v>
      </c>
      <c r="I452" s="273">
        <v>233065.03</v>
      </c>
      <c r="J452" s="234">
        <f t="shared" si="23"/>
        <v>0.45961456394156436</v>
      </c>
    </row>
    <row r="453" spans="1:10" s="54" customFormat="1" ht="12.75">
      <c r="A453" s="138"/>
      <c r="B453" s="138"/>
      <c r="C453" s="158" t="s">
        <v>164</v>
      </c>
      <c r="D453" s="174" t="str">
        <f>IF(A453&gt;0,(LOOKUP(A453,'[1]Dz.'!A:A,'[1]Dz.'!B:B)),(IF(B453&gt;0,(LOOKUP(B453,'[1]Roz.'!A:A,'[1]Roz.'!B:B)),(IF(C453&gt;0,(LOOKUP(C453,'[1]par.'!A:A,'[1]par.'!B:B)),0)))))</f>
        <v>Dodatkowe wynagrodzenie roczne</v>
      </c>
      <c r="E453" s="195">
        <v>38021</v>
      </c>
      <c r="F453" s="195"/>
      <c r="G453" s="194">
        <v>245</v>
      </c>
      <c r="H453" s="195">
        <f t="shared" si="22"/>
        <v>37776</v>
      </c>
      <c r="I453" s="273">
        <v>34112.59</v>
      </c>
      <c r="J453" s="234">
        <f t="shared" si="23"/>
        <v>0.9030228187208809</v>
      </c>
    </row>
    <row r="454" spans="1:10" s="54" customFormat="1" ht="12.75">
      <c r="A454" s="138"/>
      <c r="B454" s="138"/>
      <c r="C454" s="158" t="s">
        <v>165</v>
      </c>
      <c r="D454" s="174" t="str">
        <f>IF(A454&gt;0,(LOOKUP(A454,'[1]Dz.'!A:A,'[1]Dz.'!B:B)),(IF(B454&gt;0,(LOOKUP(B454,'[1]Roz.'!A:A,'[1]Roz.'!B:B)),(IF(C454&gt;0,(LOOKUP(C454,'[1]par.'!A:A,'[1]par.'!B:B)),0)))))</f>
        <v>Składki na ubezpieczenia społeczne</v>
      </c>
      <c r="E454" s="195">
        <v>87308</v>
      </c>
      <c r="F454" s="195">
        <v>6560</v>
      </c>
      <c r="G454" s="194"/>
      <c r="H454" s="195">
        <f t="shared" si="22"/>
        <v>93868</v>
      </c>
      <c r="I454" s="273">
        <v>40962.58</v>
      </c>
      <c r="J454" s="234">
        <f aca="true" t="shared" si="24" ref="J454:J485">I454/H454</f>
        <v>0.4363849235096093</v>
      </c>
    </row>
    <row r="455" spans="1:10" s="54" customFormat="1" ht="12.75">
      <c r="A455" s="138"/>
      <c r="B455" s="138"/>
      <c r="C455" s="158" t="s">
        <v>166</v>
      </c>
      <c r="D455" s="174" t="str">
        <f>IF(A455&gt;0,(LOOKUP(A455,'[1]Dz.'!A:A,'[1]Dz.'!B:B)),(IF(B455&gt;0,(LOOKUP(B455,'[1]Roz.'!A:A,'[1]Roz.'!B:B)),(IF(C455&gt;0,(LOOKUP(C455,'[1]par.'!A:A,'[1]par.'!B:B)),0)))))</f>
        <v>Składki na Fundusz Pracy</v>
      </c>
      <c r="E455" s="195">
        <v>12145</v>
      </c>
      <c r="F455" s="195">
        <v>915</v>
      </c>
      <c r="G455" s="194"/>
      <c r="H455" s="195">
        <f t="shared" si="22"/>
        <v>13060</v>
      </c>
      <c r="I455" s="273">
        <v>4421.99</v>
      </c>
      <c r="J455" s="234">
        <f t="shared" si="24"/>
        <v>0.33859035222052064</v>
      </c>
    </row>
    <row r="456" spans="1:10" s="54" customFormat="1" ht="12.75">
      <c r="A456" s="138"/>
      <c r="B456" s="138"/>
      <c r="C456" s="158" t="s">
        <v>168</v>
      </c>
      <c r="D456" s="174" t="str">
        <f>IF(A456&gt;0,(LOOKUP(A456,'[1]Dz.'!A:A,'[1]Dz.'!B:B)),(IF(B456&gt;0,(LOOKUP(B456,'[1]Roz.'!A:A,'[1]Roz.'!B:B)),(IF(C456&gt;0,(LOOKUP(C456,'[1]par.'!A:A,'[1]par.'!B:B)),0)))))</f>
        <v>Wynagrodzenia bezosobowe</v>
      </c>
      <c r="E456" s="195">
        <v>2400</v>
      </c>
      <c r="F456" s="195"/>
      <c r="G456" s="194"/>
      <c r="H456" s="195">
        <f t="shared" si="22"/>
        <v>2400</v>
      </c>
      <c r="I456" s="273">
        <v>1109</v>
      </c>
      <c r="J456" s="234">
        <f t="shared" si="24"/>
        <v>0.46208333333333335</v>
      </c>
    </row>
    <row r="457" spans="1:10" s="54" customFormat="1" ht="12.75">
      <c r="A457" s="138"/>
      <c r="B457" s="138"/>
      <c r="C457" s="158" t="s">
        <v>156</v>
      </c>
      <c r="D457" s="174" t="str">
        <f>IF(A457&gt;0,(LOOKUP(A457,'[1]Dz.'!A:A,'[1]Dz.'!B:B)),(IF(B457&gt;0,(LOOKUP(B457,'[1]Roz.'!A:A,'[1]Roz.'!B:B)),(IF(C457&gt;0,(LOOKUP(C457,'[1]par.'!A:A,'[1]par.'!B:B)),0)))))</f>
        <v>Zakup materiałów i wyposażenia</v>
      </c>
      <c r="E457" s="195">
        <v>8900</v>
      </c>
      <c r="F457" s="195"/>
      <c r="G457" s="194"/>
      <c r="H457" s="195">
        <f t="shared" si="22"/>
        <v>8900</v>
      </c>
      <c r="I457" s="273">
        <v>3779.26</v>
      </c>
      <c r="J457" s="234">
        <f t="shared" si="24"/>
        <v>0.4246359550561798</v>
      </c>
    </row>
    <row r="458" spans="1:10" s="54" customFormat="1" ht="25.5">
      <c r="A458" s="138"/>
      <c r="B458" s="138"/>
      <c r="C458" s="158" t="s">
        <v>213</v>
      </c>
      <c r="D458" s="174" t="str">
        <f>IF(A458&gt;0,(LOOKUP(A458,'[1]Dz.'!A:A,'[1]Dz.'!B:B)),(IF(B458&gt;0,(LOOKUP(B458,'[1]Roz.'!A:A,'[1]Roz.'!B:B)),(IF(C458&gt;0,(LOOKUP(C458,'[1]par.'!A:A,'[1]par.'!B:B)),0)))))</f>
        <v>Zakup pomocy naukowych, dydaktycznych i książek</v>
      </c>
      <c r="E458" s="195">
        <v>2057</v>
      </c>
      <c r="F458" s="195"/>
      <c r="G458" s="194"/>
      <c r="H458" s="195">
        <f t="shared" si="22"/>
        <v>2057</v>
      </c>
      <c r="I458" s="273">
        <v>332.9</v>
      </c>
      <c r="J458" s="234">
        <f t="shared" si="24"/>
        <v>0.16183762761302867</v>
      </c>
    </row>
    <row r="459" spans="1:10" s="54" customFormat="1" ht="12.75">
      <c r="A459" s="138"/>
      <c r="B459" s="138"/>
      <c r="C459" s="158" t="s">
        <v>169</v>
      </c>
      <c r="D459" s="174" t="str">
        <f>IF(A459&gt;0,(LOOKUP(A459,'[1]Dz.'!A:A,'[1]Dz.'!B:B)),(IF(B459&gt;0,(LOOKUP(B459,'[1]Roz.'!A:A,'[1]Roz.'!B:B)),(IF(C459&gt;0,(LOOKUP(C459,'[1]par.'!A:A,'[1]par.'!B:B)),0)))))</f>
        <v>Zakup energii</v>
      </c>
      <c r="E459" s="195">
        <v>16057</v>
      </c>
      <c r="F459" s="195"/>
      <c r="G459" s="194"/>
      <c r="H459" s="195">
        <f t="shared" si="22"/>
        <v>16057</v>
      </c>
      <c r="I459" s="273">
        <v>2500</v>
      </c>
      <c r="J459" s="234">
        <f t="shared" si="24"/>
        <v>0.15569533536775237</v>
      </c>
    </row>
    <row r="460" spans="1:10" s="54" customFormat="1" ht="12.75">
      <c r="A460" s="138"/>
      <c r="B460" s="138"/>
      <c r="C460" s="150" t="s">
        <v>194</v>
      </c>
      <c r="D460" s="174" t="str">
        <f>IF(A460&gt;0,(LOOKUP(A460,'[1]Dz.'!A:A,'[1]Dz.'!B:B)),(IF(B460&gt;0,(LOOKUP(B460,'[1]Roz.'!A:A,'[1]Roz.'!B:B)),(IF(C460&gt;0,(LOOKUP(C460,'[1]par.'!A:A,'[1]par.'!B:B)),0)))))</f>
        <v>Zakup usług zdrowotnych</v>
      </c>
      <c r="E460" s="195">
        <v>1100</v>
      </c>
      <c r="F460" s="195"/>
      <c r="G460" s="195"/>
      <c r="H460" s="195">
        <f t="shared" si="22"/>
        <v>1100</v>
      </c>
      <c r="I460" s="262">
        <v>130</v>
      </c>
      <c r="J460" s="223">
        <f t="shared" si="24"/>
        <v>0.11818181818181818</v>
      </c>
    </row>
    <row r="461" spans="1:10" s="54" customFormat="1" ht="12.75">
      <c r="A461" s="138"/>
      <c r="B461" s="138"/>
      <c r="C461" s="150" t="s">
        <v>157</v>
      </c>
      <c r="D461" s="174" t="str">
        <f>IF(A461&gt;0,(LOOKUP(A461,'[1]Dz.'!A:A,'[1]Dz.'!B:B)),(IF(B461&gt;0,(LOOKUP(B461,'[1]Roz.'!A:A,'[1]Roz.'!B:B)),(IF(C461&gt;0,(LOOKUP(C461,'[1]par.'!A:A,'[1]par.'!B:B)),0)))))</f>
        <v>Zakup usług pozostałych</v>
      </c>
      <c r="E461" s="195">
        <v>8400</v>
      </c>
      <c r="F461" s="195"/>
      <c r="G461" s="194"/>
      <c r="H461" s="195">
        <f t="shared" si="22"/>
        <v>8400</v>
      </c>
      <c r="I461" s="273">
        <v>2173.93</v>
      </c>
      <c r="J461" s="234">
        <f t="shared" si="24"/>
        <v>0.25880119047619043</v>
      </c>
    </row>
    <row r="462" spans="1:10" s="54" customFormat="1" ht="12.75">
      <c r="A462" s="138"/>
      <c r="B462" s="138"/>
      <c r="C462" s="168" t="s">
        <v>171</v>
      </c>
      <c r="D462" s="174" t="str">
        <f>IF(A462&gt;0,(LOOKUP(A462,'[1]Dz.'!A:A,'[1]Dz.'!B:B)),(IF(B462&gt;0,(LOOKUP(B462,'[1]Roz.'!A:A,'[1]Roz.'!B:B)),(IF(C462&gt;0,(LOOKUP(C462,'[1]par.'!A:A,'[1]par.'!B:B)),0)))))</f>
        <v>Zakup dostępu do sieci internet</v>
      </c>
      <c r="E462" s="195">
        <v>2140</v>
      </c>
      <c r="F462" s="195"/>
      <c r="G462" s="194"/>
      <c r="H462" s="195">
        <f t="shared" si="22"/>
        <v>2140</v>
      </c>
      <c r="I462" s="273">
        <v>1119.18</v>
      </c>
      <c r="J462" s="234">
        <f t="shared" si="24"/>
        <v>0.5229813084112149</v>
      </c>
    </row>
    <row r="463" spans="1:10" s="54" customFormat="1" ht="38.25">
      <c r="A463" s="138"/>
      <c r="B463" s="138"/>
      <c r="C463" s="150" t="s">
        <v>172</v>
      </c>
      <c r="D463" s="174" t="str">
        <f>IF(A463&gt;0,(LOOKUP(A463,'[1]Dz.'!A:A,'[1]Dz.'!B:B)),(IF(B463&gt;0,(LOOKUP(B463,'[1]Roz.'!A:A,'[1]Roz.'!B:B)),(IF(C463&gt;0,(LOOKUP(C463,'[1]par.'!A:A,'[1]par.'!B:B)),0)))))</f>
        <v>Opłaty z tytułu zakupu usług telekomunikacyjnych telefonii komórkowej</v>
      </c>
      <c r="E463" s="195">
        <v>1200</v>
      </c>
      <c r="F463" s="195"/>
      <c r="G463" s="194"/>
      <c r="H463" s="195">
        <f t="shared" si="22"/>
        <v>1200</v>
      </c>
      <c r="I463" s="273">
        <v>525.84</v>
      </c>
      <c r="J463" s="234">
        <f t="shared" si="24"/>
        <v>0.43820000000000003</v>
      </c>
    </row>
    <row r="464" spans="1:10" s="54" customFormat="1" ht="38.25">
      <c r="A464" s="138"/>
      <c r="B464" s="138"/>
      <c r="C464" s="150" t="s">
        <v>173</v>
      </c>
      <c r="D464" s="174" t="str">
        <f>IF(A464&gt;0,(LOOKUP(A464,'[1]Dz.'!A:A,'[1]Dz.'!B:B)),(IF(B464&gt;0,(LOOKUP(B464,'[1]Roz.'!A:A,'[1]Roz.'!B:B)),(IF(C464&gt;0,(LOOKUP(C464,'[1]par.'!A:A,'[1]par.'!B:B)),0)))))</f>
        <v>Opłaty z tytułu zakupu usług telekomunikacyjnych telefonii stacjonarnej</v>
      </c>
      <c r="E464" s="195">
        <v>4380</v>
      </c>
      <c r="F464" s="195"/>
      <c r="G464" s="194"/>
      <c r="H464" s="195">
        <f t="shared" si="22"/>
        <v>4380</v>
      </c>
      <c r="I464" s="273">
        <v>2601.1</v>
      </c>
      <c r="J464" s="234">
        <f t="shared" si="24"/>
        <v>0.5938584474885844</v>
      </c>
    </row>
    <row r="465" spans="1:10" s="54" customFormat="1" ht="25.5">
      <c r="A465" s="138"/>
      <c r="B465" s="138"/>
      <c r="C465" s="150" t="s">
        <v>189</v>
      </c>
      <c r="D465" s="174" t="str">
        <f>IF(A465&gt;0,(LOOKUP(A465,'[1]Dz.'!A:A,'[1]Dz.'!B:B)),(IF(B465&gt;0,(LOOKUP(B465,'[1]Roz.'!A:A,'[1]Roz.'!B:B)),(IF(C465&gt;0,(LOOKUP(C465,'[1]par.'!A:A,'[1]par.'!B:B)),0)))))</f>
        <v>Opłaty czynszowe za pomieszczenia biurowe</v>
      </c>
      <c r="E465" s="195">
        <v>7200</v>
      </c>
      <c r="F465" s="195"/>
      <c r="G465" s="194"/>
      <c r="H465" s="195">
        <f t="shared" si="22"/>
        <v>7200</v>
      </c>
      <c r="I465" s="273">
        <v>2848.27</v>
      </c>
      <c r="J465" s="234">
        <f t="shared" si="24"/>
        <v>0.3955930555555556</v>
      </c>
    </row>
    <row r="466" spans="1:10" s="54" customFormat="1" ht="12.75">
      <c r="A466" s="138"/>
      <c r="B466" s="138"/>
      <c r="C466" s="150" t="s">
        <v>174</v>
      </c>
      <c r="D466" s="174" t="str">
        <f>IF(A466&gt;0,(LOOKUP(A466,'[1]Dz.'!A:A,'[1]Dz.'!B:B)),(IF(B466&gt;0,(LOOKUP(B466,'[1]Roz.'!A:A,'[1]Roz.'!B:B)),(IF(C466&gt;0,(LOOKUP(C466,'[1]par.'!A:A,'[1]par.'!B:B)),0)))))</f>
        <v>Podróże służbowe krajowe</v>
      </c>
      <c r="E466" s="195">
        <v>3200</v>
      </c>
      <c r="F466" s="195"/>
      <c r="G466" s="194"/>
      <c r="H466" s="195">
        <f t="shared" si="22"/>
        <v>3200</v>
      </c>
      <c r="I466" s="273">
        <v>944.55</v>
      </c>
      <c r="J466" s="234">
        <f t="shared" si="24"/>
        <v>0.295171875</v>
      </c>
    </row>
    <row r="467" spans="1:10" s="54" customFormat="1" ht="12.75">
      <c r="A467" s="138"/>
      <c r="B467" s="138"/>
      <c r="C467" s="150" t="s">
        <v>175</v>
      </c>
      <c r="D467" s="174" t="str">
        <f>IF(A467&gt;0,(LOOKUP(A467,'[1]Dz.'!A:A,'[1]Dz.'!B:B)),(IF(B467&gt;0,(LOOKUP(B467,'[1]Roz.'!A:A,'[1]Roz.'!B:B)),(IF(C467&gt;0,(LOOKUP(C467,'[1]par.'!A:A,'[1]par.'!B:B)),0)))))</f>
        <v>Różne opłaty i składki</v>
      </c>
      <c r="E467" s="195">
        <v>1550</v>
      </c>
      <c r="F467" s="195"/>
      <c r="G467" s="194"/>
      <c r="H467" s="195">
        <f t="shared" si="22"/>
        <v>1550</v>
      </c>
      <c r="I467" s="273">
        <v>917</v>
      </c>
      <c r="J467" s="234">
        <f t="shared" si="24"/>
        <v>0.5916129032258064</v>
      </c>
    </row>
    <row r="468" spans="1:10" s="54" customFormat="1" ht="25.5">
      <c r="A468" s="138"/>
      <c r="B468" s="138"/>
      <c r="C468" s="150" t="s">
        <v>176</v>
      </c>
      <c r="D468" s="174" t="str">
        <f>IF(A468&gt;0,(LOOKUP(A468,'[1]Dz.'!A:A,'[1]Dz.'!B:B)),(IF(B468&gt;0,(LOOKUP(B468,'[1]Roz.'!A:A,'[1]Roz.'!B:B)),(IF(C468&gt;0,(LOOKUP(C468,'[1]par.'!A:A,'[1]par.'!B:B)),0)))))</f>
        <v>Odpisy na zakladowy fundusz świadczeń socjalnych</v>
      </c>
      <c r="E468" s="195">
        <v>29363</v>
      </c>
      <c r="F468" s="195"/>
      <c r="G468" s="194"/>
      <c r="H468" s="195">
        <f t="shared" si="22"/>
        <v>29363</v>
      </c>
      <c r="I468" s="273">
        <v>22609.5</v>
      </c>
      <c r="J468" s="234">
        <f t="shared" si="24"/>
        <v>0.7699996594353438</v>
      </c>
    </row>
    <row r="469" spans="1:10" s="54" customFormat="1" ht="38.25">
      <c r="A469" s="138"/>
      <c r="B469" s="138"/>
      <c r="C469" s="150" t="s">
        <v>181</v>
      </c>
      <c r="D469" s="174" t="str">
        <f>IF(A469&gt;0,(LOOKUP(A469,'[1]Dz.'!A:A,'[1]Dz.'!B:B)),(IF(B469&gt;0,(LOOKUP(B469,'[1]Roz.'!A:A,'[1]Roz.'!B:B)),(IF(C469&gt;0,(LOOKUP(C469,'[1]par.'!A:A,'[1]par.'!B:B)),0)))))</f>
        <v>Zakup materiałów papierniczych do sprzętu drukarskego i urządzeń kserograficznych</v>
      </c>
      <c r="E469" s="195">
        <v>2900</v>
      </c>
      <c r="F469" s="195"/>
      <c r="G469" s="194"/>
      <c r="H469" s="195">
        <f t="shared" si="22"/>
        <v>2900</v>
      </c>
      <c r="I469" s="273">
        <v>885.77</v>
      </c>
      <c r="J469" s="234">
        <f t="shared" si="24"/>
        <v>0.30543793103448275</v>
      </c>
    </row>
    <row r="470" spans="1:10" s="54" customFormat="1" ht="25.5">
      <c r="A470" s="138"/>
      <c r="B470" s="138"/>
      <c r="C470" s="150" t="s">
        <v>182</v>
      </c>
      <c r="D470" s="174" t="str">
        <f>IF(A470&gt;0,(LOOKUP(A470,'[1]Dz.'!A:A,'[1]Dz.'!B:B)),(IF(B470&gt;0,(LOOKUP(B470,'[1]Roz.'!A:A,'[1]Roz.'!B:B)),(IF(C470&gt;0,(LOOKUP(C470,'[1]par.'!A:A,'[1]par.'!B:B)),0)))))</f>
        <v>Zakup akcesoriów komputerowych, w tym programów i licencji</v>
      </c>
      <c r="E470" s="195">
        <v>3550</v>
      </c>
      <c r="F470" s="195"/>
      <c r="G470" s="194"/>
      <c r="H470" s="195">
        <f t="shared" si="22"/>
        <v>3550</v>
      </c>
      <c r="I470" s="273">
        <v>725.19</v>
      </c>
      <c r="J470" s="234">
        <f t="shared" si="24"/>
        <v>0.20427887323943664</v>
      </c>
    </row>
    <row r="471" spans="1:10" s="137" customFormat="1" ht="12.75">
      <c r="A471" s="134"/>
      <c r="B471" s="135" t="s">
        <v>139</v>
      </c>
      <c r="C471" s="157"/>
      <c r="D471" s="175" t="str">
        <f>IF(A471&gt;0,(LOOKUP(A471,'[1]Dz.'!A:A,'[1]Dz.'!B:B)),(IF(B471&gt;0,(LOOKUP(B471,'[1]Roz.'!A:A,'[1]Roz.'!B:B)),(IF(C471&gt;0,(LOOKUP(C471,'[1]par.'!A:A,'[1]par.'!B:B)),0)))))</f>
        <v>Placówki wychowania pozaszkolnego</v>
      </c>
      <c r="E471" s="192">
        <f>SUM(E472:E489)</f>
        <v>370275</v>
      </c>
      <c r="F471" s="192">
        <f>SUM(F472:F489)</f>
        <v>0</v>
      </c>
      <c r="G471" s="192">
        <f>SUM(G472:G489)</f>
        <v>0</v>
      </c>
      <c r="H471" s="192">
        <f t="shared" si="22"/>
        <v>370275</v>
      </c>
      <c r="I471" s="265">
        <f>SUM(I472:I489)</f>
        <v>192821.25</v>
      </c>
      <c r="J471" s="226">
        <f t="shared" si="24"/>
        <v>0.5207514685031396</v>
      </c>
    </row>
    <row r="472" spans="1:10" s="54" customFormat="1" ht="25.5">
      <c r="A472" s="138"/>
      <c r="B472" s="138"/>
      <c r="C472" s="150" t="s">
        <v>161</v>
      </c>
      <c r="D472" s="174" t="str">
        <f>IF(A472&gt;0,(LOOKUP(A472,'[1]Dz.'!A:A,'[1]Dz.'!B:B)),(IF(B472&gt;0,(LOOKUP(B472,'[1]Roz.'!A:A,'[1]Roz.'!B:B)),(IF(C472&gt;0,(LOOKUP(C472,'[1]par.'!A:A,'[1]par.'!B:B)),0)))))</f>
        <v>Nagrody i wydatki osobowe nie zaliczone do wynagrodzeń</v>
      </c>
      <c r="E472" s="195">
        <v>420</v>
      </c>
      <c r="F472" s="195"/>
      <c r="G472" s="194"/>
      <c r="H472" s="195">
        <f t="shared" si="22"/>
        <v>420</v>
      </c>
      <c r="I472" s="273">
        <v>120</v>
      </c>
      <c r="J472" s="234">
        <f t="shared" si="24"/>
        <v>0.2857142857142857</v>
      </c>
    </row>
    <row r="473" spans="1:10" s="54" customFormat="1" ht="12.75">
      <c r="A473" s="138"/>
      <c r="B473" s="138"/>
      <c r="C473" s="150" t="s">
        <v>163</v>
      </c>
      <c r="D473" s="174" t="str">
        <f>IF(A473&gt;0,(LOOKUP(A473,'[1]Dz.'!A:A,'[1]Dz.'!B:B)),(IF(B473&gt;0,(LOOKUP(B473,'[1]Roz.'!A:A,'[1]Roz.'!B:B)),(IF(C473&gt;0,(LOOKUP(C473,'[1]par.'!A:A,'[1]par.'!B:B)),0)))))</f>
        <v>Wynagrodzenia osobowe pracowników</v>
      </c>
      <c r="E473" s="195">
        <v>237188</v>
      </c>
      <c r="F473" s="195"/>
      <c r="G473" s="194"/>
      <c r="H473" s="195">
        <f t="shared" si="22"/>
        <v>237188</v>
      </c>
      <c r="I473" s="273">
        <v>123572.52</v>
      </c>
      <c r="J473" s="234">
        <f t="shared" si="24"/>
        <v>0.5209897633944381</v>
      </c>
    </row>
    <row r="474" spans="1:10" s="54" customFormat="1" ht="12.75">
      <c r="A474" s="138"/>
      <c r="B474" s="138"/>
      <c r="C474" s="150" t="s">
        <v>164</v>
      </c>
      <c r="D474" s="174" t="str">
        <f>IF(A474&gt;0,(LOOKUP(A474,'[1]Dz.'!A:A,'[1]Dz.'!B:B)),(IF(B474&gt;0,(LOOKUP(B474,'[1]Roz.'!A:A,'[1]Roz.'!B:B)),(IF(C474&gt;0,(LOOKUP(C474,'[1]par.'!A:A,'[1]par.'!B:B)),0)))))</f>
        <v>Dodatkowe wynagrodzenie roczne</v>
      </c>
      <c r="E474" s="195">
        <v>17865</v>
      </c>
      <c r="F474" s="195"/>
      <c r="G474" s="194"/>
      <c r="H474" s="195">
        <f t="shared" si="22"/>
        <v>17865</v>
      </c>
      <c r="I474" s="273">
        <v>17090.92</v>
      </c>
      <c r="J474" s="234">
        <f t="shared" si="24"/>
        <v>0.9566705849426251</v>
      </c>
    </row>
    <row r="475" spans="1:10" s="54" customFormat="1" ht="12.75">
      <c r="A475" s="138"/>
      <c r="B475" s="138"/>
      <c r="C475" s="150" t="s">
        <v>165</v>
      </c>
      <c r="D475" s="174" t="str">
        <f>IF(A475&gt;0,(LOOKUP(A475,'[1]Dz.'!A:A,'[1]Dz.'!B:B)),(IF(B475&gt;0,(LOOKUP(B475,'[1]Roz.'!A:A,'[1]Roz.'!B:B)),(IF(C475&gt;0,(LOOKUP(C475,'[1]par.'!A:A,'[1]par.'!B:B)),0)))))</f>
        <v>Składki na ubezpieczenia społeczne</v>
      </c>
      <c r="E475" s="195">
        <v>43867</v>
      </c>
      <c r="F475" s="195"/>
      <c r="G475" s="194"/>
      <c r="H475" s="195">
        <f t="shared" si="22"/>
        <v>43867</v>
      </c>
      <c r="I475" s="273">
        <v>24297.88</v>
      </c>
      <c r="J475" s="234">
        <f t="shared" si="24"/>
        <v>0.5538988305559989</v>
      </c>
    </row>
    <row r="476" spans="1:10" s="54" customFormat="1" ht="12.75">
      <c r="A476" s="138"/>
      <c r="B476" s="138"/>
      <c r="C476" s="150" t="s">
        <v>166</v>
      </c>
      <c r="D476" s="174" t="str">
        <f>IF(A476&gt;0,(LOOKUP(A476,'[1]Dz.'!A:A,'[1]Dz.'!B:B)),(IF(B476&gt;0,(LOOKUP(B476,'[1]Roz.'!A:A,'[1]Roz.'!B:B)),(IF(C476&gt;0,(LOOKUP(C476,'[1]par.'!A:A,'[1]par.'!B:B)),0)))))</f>
        <v>Składki na Fundusz Pracy</v>
      </c>
      <c r="E476" s="195">
        <v>5996</v>
      </c>
      <c r="F476" s="195"/>
      <c r="G476" s="194"/>
      <c r="H476" s="195">
        <f t="shared" si="22"/>
        <v>5996</v>
      </c>
      <c r="I476" s="273">
        <v>1949.38</v>
      </c>
      <c r="J476" s="234">
        <f t="shared" si="24"/>
        <v>0.32511340893929286</v>
      </c>
    </row>
    <row r="477" spans="1:10" s="54" customFormat="1" ht="12.75">
      <c r="A477" s="138"/>
      <c r="B477" s="138"/>
      <c r="C477" s="150" t="s">
        <v>156</v>
      </c>
      <c r="D477" s="174" t="str">
        <f>IF(A477&gt;0,(LOOKUP(A477,'[1]Dz.'!A:A,'[1]Dz.'!B:B)),(IF(B477&gt;0,(LOOKUP(B477,'[1]Roz.'!A:A,'[1]Roz.'!B:B)),(IF(C477&gt;0,(LOOKUP(C477,'[1]par.'!A:A,'[1]par.'!B:B)),0)))))</f>
        <v>Zakup materiałów i wyposażenia</v>
      </c>
      <c r="E477" s="195">
        <v>10197</v>
      </c>
      <c r="F477" s="195"/>
      <c r="G477" s="194"/>
      <c r="H477" s="195">
        <f aca="true" t="shared" si="25" ref="H477:H546">E477+F477-G477</f>
        <v>10197</v>
      </c>
      <c r="I477" s="273">
        <v>3437.65</v>
      </c>
      <c r="J477" s="234">
        <f t="shared" si="24"/>
        <v>0.33712366382269293</v>
      </c>
    </row>
    <row r="478" spans="1:10" s="54" customFormat="1" ht="25.5">
      <c r="A478" s="138"/>
      <c r="B478" s="138"/>
      <c r="C478" s="150" t="s">
        <v>213</v>
      </c>
      <c r="D478" s="174" t="str">
        <f>IF(A478&gt;0,(LOOKUP(A478,'[1]Dz.'!A:A,'[1]Dz.'!B:B)),(IF(B478&gt;0,(LOOKUP(B478,'[1]Roz.'!A:A,'[1]Roz.'!B:B)),(IF(C478&gt;0,(LOOKUP(C478,'[1]par.'!A:A,'[1]par.'!B:B)),0)))))</f>
        <v>Zakup pomocy naukowych, dydaktycznych i książek</v>
      </c>
      <c r="E478" s="195">
        <v>1500</v>
      </c>
      <c r="F478" s="195"/>
      <c r="G478" s="194"/>
      <c r="H478" s="195">
        <f t="shared" si="25"/>
        <v>1500</v>
      </c>
      <c r="I478" s="273"/>
      <c r="J478" s="234">
        <f t="shared" si="24"/>
        <v>0</v>
      </c>
    </row>
    <row r="479" spans="1:10" s="54" customFormat="1" ht="12.75">
      <c r="A479" s="138"/>
      <c r="B479" s="138"/>
      <c r="C479" s="150" t="s">
        <v>169</v>
      </c>
      <c r="D479" s="174" t="str">
        <f>IF(A479&gt;0,(LOOKUP(A479,'[1]Dz.'!A:A,'[1]Dz.'!B:B)),(IF(B479&gt;0,(LOOKUP(B479,'[1]Roz.'!A:A,'[1]Roz.'!B:B)),(IF(C479&gt;0,(LOOKUP(C479,'[1]par.'!A:A,'[1]par.'!B:B)),0)))))</f>
        <v>Zakup energii</v>
      </c>
      <c r="E479" s="195">
        <v>17000</v>
      </c>
      <c r="F479" s="195"/>
      <c r="G479" s="194"/>
      <c r="H479" s="195">
        <f t="shared" si="25"/>
        <v>17000</v>
      </c>
      <c r="I479" s="273">
        <v>3000</v>
      </c>
      <c r="J479" s="234">
        <f t="shared" si="24"/>
        <v>0.17647058823529413</v>
      </c>
    </row>
    <row r="480" spans="1:10" s="54" customFormat="1" ht="12.75">
      <c r="A480" s="138"/>
      <c r="B480" s="138"/>
      <c r="C480" s="150" t="s">
        <v>170</v>
      </c>
      <c r="D480" s="174" t="str">
        <f>IF(A480&gt;0,(LOOKUP(A480,'[1]Dz.'!A:A,'[1]Dz.'!B:B)),(IF(B480&gt;0,(LOOKUP(B480,'[1]Roz.'!A:A,'[1]Roz.'!B:B)),(IF(C480&gt;0,(LOOKUP(C480,'[1]par.'!A:A,'[1]par.'!B:B)),0)))))</f>
        <v>Zakup usług remontowych</v>
      </c>
      <c r="E480" s="195">
        <v>4100</v>
      </c>
      <c r="F480" s="195"/>
      <c r="G480" s="194"/>
      <c r="H480" s="195">
        <f t="shared" si="25"/>
        <v>4100</v>
      </c>
      <c r="I480" s="273"/>
      <c r="J480" s="234">
        <f t="shared" si="24"/>
        <v>0</v>
      </c>
    </row>
    <row r="481" spans="1:10" s="54" customFormat="1" ht="12.75">
      <c r="A481" s="138"/>
      <c r="B481" s="138"/>
      <c r="C481" s="150" t="s">
        <v>194</v>
      </c>
      <c r="D481" s="174" t="str">
        <f>IF(A481&gt;0,(LOOKUP(A481,'[1]Dz.'!A:A,'[1]Dz.'!B:B)),(IF(B481&gt;0,(LOOKUP(B481,'[1]Roz.'!A:A,'[1]Roz.'!B:B)),(IF(C481&gt;0,(LOOKUP(C481,'[1]par.'!A:A,'[1]par.'!B:B)),0)))))</f>
        <v>Zakup usług zdrowotnych</v>
      </c>
      <c r="E481" s="195">
        <v>300</v>
      </c>
      <c r="F481" s="195"/>
      <c r="G481" s="194"/>
      <c r="H481" s="195">
        <f t="shared" si="25"/>
        <v>300</v>
      </c>
      <c r="I481" s="273">
        <v>40</v>
      </c>
      <c r="J481" s="234">
        <f t="shared" si="24"/>
        <v>0.13333333333333333</v>
      </c>
    </row>
    <row r="482" spans="1:10" s="54" customFormat="1" ht="12.75">
      <c r="A482" s="138"/>
      <c r="B482" s="138"/>
      <c r="C482" s="150" t="s">
        <v>157</v>
      </c>
      <c r="D482" s="174" t="str">
        <f>IF(A482&gt;0,(LOOKUP(A482,'[1]Dz.'!A:A,'[1]Dz.'!B:B)),(IF(B482&gt;0,(LOOKUP(B482,'[1]Roz.'!A:A,'[1]Roz.'!B:B)),(IF(C482&gt;0,(LOOKUP(C482,'[1]par.'!A:A,'[1]par.'!B:B)),0)))))</f>
        <v>Zakup usług pozostałych</v>
      </c>
      <c r="E482" s="195">
        <v>8300</v>
      </c>
      <c r="F482" s="195"/>
      <c r="G482" s="194"/>
      <c r="H482" s="195">
        <f t="shared" si="25"/>
        <v>8300</v>
      </c>
      <c r="I482" s="273">
        <v>2012.32</v>
      </c>
      <c r="J482" s="234">
        <f t="shared" si="24"/>
        <v>0.24244819277108434</v>
      </c>
    </row>
    <row r="483" spans="1:10" s="54" customFormat="1" ht="12.75">
      <c r="A483" s="138"/>
      <c r="B483" s="138"/>
      <c r="C483" s="150" t="s">
        <v>171</v>
      </c>
      <c r="D483" s="174" t="str">
        <f>IF(A483&gt;0,(LOOKUP(A483,'[1]Dz.'!A:A,'[1]Dz.'!B:B)),(IF(B483&gt;0,(LOOKUP(B483,'[1]Roz.'!A:A,'[1]Roz.'!B:B)),(IF(C483&gt;0,(LOOKUP(C483,'[1]par.'!A:A,'[1]par.'!B:B)),0)))))</f>
        <v>Zakup dostępu do sieci internet</v>
      </c>
      <c r="E483" s="195">
        <v>1800</v>
      </c>
      <c r="F483" s="195"/>
      <c r="G483" s="194"/>
      <c r="H483" s="195">
        <f t="shared" si="25"/>
        <v>1800</v>
      </c>
      <c r="I483" s="273">
        <v>354</v>
      </c>
      <c r="J483" s="234">
        <f t="shared" si="24"/>
        <v>0.19666666666666666</v>
      </c>
    </row>
    <row r="484" spans="1:10" s="54" customFormat="1" ht="38.25">
      <c r="A484" s="138"/>
      <c r="B484" s="138"/>
      <c r="C484" s="150" t="s">
        <v>173</v>
      </c>
      <c r="D484" s="174" t="str">
        <f>IF(A484&gt;0,(LOOKUP(A484,'[1]Dz.'!A:A,'[1]Dz.'!B:B)),(IF(B484&gt;0,(LOOKUP(B484,'[1]Roz.'!A:A,'[1]Roz.'!B:B)),(IF(C484&gt;0,(LOOKUP(C484,'[1]par.'!A:A,'[1]par.'!B:B)),0)))))</f>
        <v>Opłaty z tytułu zakupu usług telekomunikacyjnych telefonii stacjonarnej</v>
      </c>
      <c r="E484" s="195">
        <v>2100</v>
      </c>
      <c r="F484" s="195"/>
      <c r="G484" s="194"/>
      <c r="H484" s="195">
        <f t="shared" si="25"/>
        <v>2100</v>
      </c>
      <c r="I484" s="273">
        <v>1187.28</v>
      </c>
      <c r="J484" s="234">
        <f t="shared" si="24"/>
        <v>0.5653714285714285</v>
      </c>
    </row>
    <row r="485" spans="1:10" s="54" customFormat="1" ht="12.75">
      <c r="A485" s="138"/>
      <c r="B485" s="138"/>
      <c r="C485" s="150" t="s">
        <v>174</v>
      </c>
      <c r="D485" s="174" t="str">
        <f>IF(A485&gt;0,(LOOKUP(A485,'[1]Dz.'!A:A,'[1]Dz.'!B:B)),(IF(B485&gt;0,(LOOKUP(B485,'[1]Roz.'!A:A,'[1]Roz.'!B:B)),(IF(C485&gt;0,(LOOKUP(C485,'[1]par.'!A:A,'[1]par.'!B:B)),0)))))</f>
        <v>Podróże służbowe krajowe</v>
      </c>
      <c r="E485" s="195">
        <v>500</v>
      </c>
      <c r="F485" s="195"/>
      <c r="G485" s="194"/>
      <c r="H485" s="195">
        <f t="shared" si="25"/>
        <v>500</v>
      </c>
      <c r="I485" s="273">
        <v>99.8</v>
      </c>
      <c r="J485" s="234">
        <f t="shared" si="24"/>
        <v>0.1996</v>
      </c>
    </row>
    <row r="486" spans="1:10" s="54" customFormat="1" ht="12.75">
      <c r="A486" s="138"/>
      <c r="B486" s="138"/>
      <c r="C486" s="150" t="s">
        <v>175</v>
      </c>
      <c r="D486" s="174" t="str">
        <f>IF(A486&gt;0,(LOOKUP(A486,'[1]Dz.'!A:A,'[1]Dz.'!B:B)),(IF(B486&gt;0,(LOOKUP(B486,'[1]Roz.'!A:A,'[1]Roz.'!B:B)),(IF(C486&gt;0,(LOOKUP(C486,'[1]par.'!A:A,'[1]par.'!B:B)),0)))))</f>
        <v>Różne opłaty i składki</v>
      </c>
      <c r="E486" s="195">
        <v>700</v>
      </c>
      <c r="F486" s="195"/>
      <c r="G486" s="194"/>
      <c r="H486" s="195">
        <f t="shared" si="25"/>
        <v>700</v>
      </c>
      <c r="I486" s="273">
        <v>360.5</v>
      </c>
      <c r="J486" s="234">
        <f aca="true" t="shared" si="26" ref="J486:J517">I486/H486</f>
        <v>0.515</v>
      </c>
    </row>
    <row r="487" spans="1:10" s="54" customFormat="1" ht="25.5">
      <c r="A487" s="138"/>
      <c r="B487" s="138"/>
      <c r="C487" s="150" t="s">
        <v>176</v>
      </c>
      <c r="D487" s="174" t="str">
        <f>IF(A487&gt;0,(LOOKUP(A487,'[1]Dz.'!A:A,'[1]Dz.'!B:B)),(IF(B487&gt;0,(LOOKUP(B487,'[1]Roz.'!A:A,'[1]Roz.'!B:B)),(IF(C487&gt;0,(LOOKUP(C487,'[1]par.'!A:A,'[1]par.'!B:B)),0)))))</f>
        <v>Odpisy na zakladowy fundusz świadczeń socjalnych</v>
      </c>
      <c r="E487" s="195">
        <v>14242</v>
      </c>
      <c r="F487" s="195"/>
      <c r="G487" s="194"/>
      <c r="H487" s="195">
        <f t="shared" si="25"/>
        <v>14242</v>
      </c>
      <c r="I487" s="273">
        <v>14242</v>
      </c>
      <c r="J487" s="234">
        <f t="shared" si="26"/>
        <v>1</v>
      </c>
    </row>
    <row r="488" spans="1:10" s="54" customFormat="1" ht="38.25">
      <c r="A488" s="138"/>
      <c r="B488" s="138"/>
      <c r="C488" s="150" t="s">
        <v>181</v>
      </c>
      <c r="D488" s="174" t="str">
        <f>IF(A488&gt;0,(LOOKUP(A488,'[1]Dz.'!A:A,'[1]Dz.'!B:B)),(IF(B488&gt;0,(LOOKUP(B488,'[1]Roz.'!A:A,'[1]Roz.'!B:B)),(IF(C488&gt;0,(LOOKUP(C488,'[1]par.'!A:A,'[1]par.'!B:B)),0)))))</f>
        <v>Zakup materiałów papierniczych do sprzętu drukarskego i urządzeń kserograficznych</v>
      </c>
      <c r="E488" s="195">
        <v>1200</v>
      </c>
      <c r="F488" s="195"/>
      <c r="G488" s="194"/>
      <c r="H488" s="195">
        <f t="shared" si="25"/>
        <v>1200</v>
      </c>
      <c r="I488" s="273"/>
      <c r="J488" s="234">
        <f t="shared" si="26"/>
        <v>0</v>
      </c>
    </row>
    <row r="489" spans="1:10" s="54" customFormat="1" ht="25.5">
      <c r="A489" s="138"/>
      <c r="B489" s="138"/>
      <c r="C489" s="150" t="s">
        <v>182</v>
      </c>
      <c r="D489" s="174" t="str">
        <f>IF(A489&gt;0,(LOOKUP(A489,'[1]Dz.'!A:A,'[1]Dz.'!B:B)),(IF(B489&gt;0,(LOOKUP(B489,'[1]Roz.'!A:A,'[1]Roz.'!B:B)),(IF(C489&gt;0,(LOOKUP(C489,'[1]par.'!A:A,'[1]par.'!B:B)),0)))))</f>
        <v>Zakup akcesoriów komputerowych, w tym programów i licencji</v>
      </c>
      <c r="E489" s="195">
        <v>3000</v>
      </c>
      <c r="F489" s="195"/>
      <c r="G489" s="194"/>
      <c r="H489" s="195">
        <f t="shared" si="25"/>
        <v>3000</v>
      </c>
      <c r="I489" s="273">
        <v>1057</v>
      </c>
      <c r="J489" s="234">
        <f t="shared" si="26"/>
        <v>0.35233333333333333</v>
      </c>
    </row>
    <row r="490" spans="1:10" s="137" customFormat="1" ht="12.75">
      <c r="A490" s="134"/>
      <c r="B490" s="135" t="s">
        <v>140</v>
      </c>
      <c r="C490" s="157"/>
      <c r="D490" s="175" t="str">
        <f>IF(A490&gt;0,(LOOKUP(A490,'[1]Dz.'!A:A,'[1]Dz.'!B:B)),(IF(B490&gt;0,(LOOKUP(B490,'[1]Roz.'!A:A,'[1]Roz.'!B:B)),(IF(C490&gt;0,(LOOKUP(C490,'[1]par.'!A:A,'[1]par.'!B:B)),0)))))</f>
        <v>Internaty i bursy szkolne</v>
      </c>
      <c r="E490" s="192">
        <f>SUM(E491:E506)</f>
        <v>939117</v>
      </c>
      <c r="F490" s="192">
        <f>SUM(F491:F506)</f>
        <v>37284</v>
      </c>
      <c r="G490" s="192">
        <f>SUM(G491:G506)</f>
        <v>103</v>
      </c>
      <c r="H490" s="192">
        <f t="shared" si="25"/>
        <v>976298</v>
      </c>
      <c r="I490" s="265">
        <f>SUM(I491:I506)</f>
        <v>538727.9</v>
      </c>
      <c r="J490" s="226">
        <f t="shared" si="26"/>
        <v>0.5518068253750392</v>
      </c>
    </row>
    <row r="491" spans="1:10" s="54" customFormat="1" ht="25.5">
      <c r="A491" s="138"/>
      <c r="B491" s="138"/>
      <c r="C491" s="158" t="s">
        <v>226</v>
      </c>
      <c r="D491" s="174" t="str">
        <f>IF(A491&gt;0,(LOOKUP(A491,'[1]Dz.'!A:A,'[1]Dz.'!B:B)),(IF(B491&gt;0,(LOOKUP(B491,'[1]Roz.'!A:A,'[1]Roz.'!B:B)),(IF(C491&gt;0,(LOOKUP(C491,'[1]par.'!A:A,'[1]par.'!B:B)),0)))))</f>
        <v>Dotacja podmiotowa z budżetu dla niepublicznej jednostki systemu oświaty</v>
      </c>
      <c r="E491" s="195">
        <v>160000</v>
      </c>
      <c r="F491" s="195"/>
      <c r="G491" s="194"/>
      <c r="H491" s="195">
        <f t="shared" si="25"/>
        <v>160000</v>
      </c>
      <c r="I491" s="273">
        <v>95379.97</v>
      </c>
      <c r="J491" s="234">
        <f t="shared" si="26"/>
        <v>0.5961248125</v>
      </c>
    </row>
    <row r="492" spans="1:10" s="54" customFormat="1" ht="25.5">
      <c r="A492" s="138"/>
      <c r="B492" s="138"/>
      <c r="C492" s="158" t="s">
        <v>161</v>
      </c>
      <c r="D492" s="174" t="str">
        <f>IF(A492&gt;0,(LOOKUP(A492,'[1]Dz.'!A:A,'[1]Dz.'!B:B)),(IF(B492&gt;0,(LOOKUP(B492,'[1]Roz.'!A:A,'[1]Roz.'!B:B)),(IF(C492&gt;0,(LOOKUP(C492,'[1]par.'!A:A,'[1]par.'!B:B)),0)))))</f>
        <v>Nagrody i wydatki osobowe nie zaliczone do wynagrodzeń</v>
      </c>
      <c r="E492" s="195">
        <v>10597</v>
      </c>
      <c r="F492" s="195"/>
      <c r="G492" s="194"/>
      <c r="H492" s="195">
        <f t="shared" si="25"/>
        <v>10597</v>
      </c>
      <c r="I492" s="273">
        <v>4593.57</v>
      </c>
      <c r="J492" s="234">
        <f t="shared" si="26"/>
        <v>0.4334783429272435</v>
      </c>
    </row>
    <row r="493" spans="1:10" s="54" customFormat="1" ht="12.75" hidden="1">
      <c r="A493" s="138"/>
      <c r="B493" s="138"/>
      <c r="C493" s="158" t="s">
        <v>158</v>
      </c>
      <c r="D493" s="174" t="str">
        <f>IF(A493&gt;0,(LOOKUP(A493,'[1]Dz.'!A:A,'[1]Dz.'!B:B)),(IF(B493&gt;0,(LOOKUP(B493,'[1]Roz.'!A:A,'[1]Roz.'!B:B)),(IF(C493&gt;0,(LOOKUP(C493,'[1]par.'!A:A,'[1]par.'!B:B)),0)))))</f>
        <v>Różne wydatki na rzecz osób fizycznych</v>
      </c>
      <c r="E493" s="195">
        <v>0</v>
      </c>
      <c r="F493" s="195"/>
      <c r="G493" s="194"/>
      <c r="H493" s="195">
        <f t="shared" si="25"/>
        <v>0</v>
      </c>
      <c r="I493" s="273"/>
      <c r="J493" s="234" t="e">
        <f t="shared" si="26"/>
        <v>#DIV/0!</v>
      </c>
    </row>
    <row r="494" spans="1:10" s="54" customFormat="1" ht="12.75">
      <c r="A494" s="138"/>
      <c r="B494" s="138"/>
      <c r="C494" s="158" t="s">
        <v>163</v>
      </c>
      <c r="D494" s="174" t="str">
        <f>IF(A494&gt;0,(LOOKUP(A494,'[1]Dz.'!A:A,'[1]Dz.'!B:B)),(IF(B494&gt;0,(LOOKUP(B494,'[1]Roz.'!A:A,'[1]Roz.'!B:B)),(IF(C494&gt;0,(LOOKUP(C494,'[1]par.'!A:A,'[1]par.'!B:B)),0)))))</f>
        <v>Wynagrodzenia osobowe pracowników</v>
      </c>
      <c r="E494" s="195">
        <v>368134</v>
      </c>
      <c r="F494" s="195">
        <v>1609</v>
      </c>
      <c r="G494" s="194"/>
      <c r="H494" s="195">
        <f t="shared" si="25"/>
        <v>369743</v>
      </c>
      <c r="I494" s="273">
        <v>165791.2</v>
      </c>
      <c r="J494" s="234">
        <f t="shared" si="26"/>
        <v>0.44839577760768967</v>
      </c>
    </row>
    <row r="495" spans="1:10" s="54" customFormat="1" ht="12.75">
      <c r="A495" s="138"/>
      <c r="B495" s="138"/>
      <c r="C495" s="158" t="s">
        <v>164</v>
      </c>
      <c r="D495" s="174" t="str">
        <f>IF(A495&gt;0,(LOOKUP(A495,'[1]Dz.'!A:A,'[1]Dz.'!B:B)),(IF(B495&gt;0,(LOOKUP(B495,'[1]Roz.'!A:A,'[1]Roz.'!B:B)),(IF(C495&gt;0,(LOOKUP(C495,'[1]par.'!A:A,'[1]par.'!B:B)),0)))))</f>
        <v>Dodatkowe wynagrodzenie roczne</v>
      </c>
      <c r="E495" s="195">
        <v>26850</v>
      </c>
      <c r="F495" s="195"/>
      <c r="G495" s="194">
        <v>103</v>
      </c>
      <c r="H495" s="195">
        <f t="shared" si="25"/>
        <v>26747</v>
      </c>
      <c r="I495" s="273">
        <v>26311.5</v>
      </c>
      <c r="J495" s="234">
        <f t="shared" si="26"/>
        <v>0.9837178001271171</v>
      </c>
    </row>
    <row r="496" spans="1:10" s="54" customFormat="1" ht="12.75">
      <c r="A496" s="138"/>
      <c r="B496" s="138"/>
      <c r="C496" s="158" t="s">
        <v>165</v>
      </c>
      <c r="D496" s="174" t="str">
        <f>IF(A496&gt;0,(LOOKUP(A496,'[1]Dz.'!A:A,'[1]Dz.'!B:B)),(IF(B496&gt;0,(LOOKUP(B496,'[1]Roz.'!A:A,'[1]Roz.'!B:B)),(IF(C496&gt;0,(LOOKUP(C496,'[1]par.'!A:A,'[1]par.'!B:B)),0)))))</f>
        <v>Składki na ubezpieczenia społeczne</v>
      </c>
      <c r="E496" s="195">
        <v>63852</v>
      </c>
      <c r="F496" s="195">
        <v>360</v>
      </c>
      <c r="G496" s="194"/>
      <c r="H496" s="195">
        <f t="shared" si="25"/>
        <v>64212</v>
      </c>
      <c r="I496" s="273">
        <v>32709.78</v>
      </c>
      <c r="J496" s="234">
        <f t="shared" si="26"/>
        <v>0.5094029153429266</v>
      </c>
    </row>
    <row r="497" spans="1:10" s="54" customFormat="1" ht="12.75">
      <c r="A497" s="138"/>
      <c r="B497" s="138"/>
      <c r="C497" s="158" t="s">
        <v>166</v>
      </c>
      <c r="D497" s="174" t="str">
        <f>IF(A497&gt;0,(LOOKUP(A497,'[1]Dz.'!A:A,'[1]Dz.'!B:B)),(IF(B497&gt;0,(LOOKUP(B497,'[1]Roz.'!A:A,'[1]Roz.'!B:B)),(IF(C497&gt;0,(LOOKUP(C497,'[1]par.'!A:A,'[1]par.'!B:B)),0)))))</f>
        <v>Składki na Fundusz Pracy</v>
      </c>
      <c r="E497" s="195">
        <v>8966</v>
      </c>
      <c r="F497" s="195">
        <v>51</v>
      </c>
      <c r="G497" s="194"/>
      <c r="H497" s="195">
        <f t="shared" si="25"/>
        <v>9017</v>
      </c>
      <c r="I497" s="273">
        <v>4574.98</v>
      </c>
      <c r="J497" s="234">
        <f t="shared" si="26"/>
        <v>0.5073727403792835</v>
      </c>
    </row>
    <row r="498" spans="1:10" s="54" customFormat="1" ht="12.75" hidden="1">
      <c r="A498" s="138"/>
      <c r="B498" s="138"/>
      <c r="C498" s="158" t="s">
        <v>168</v>
      </c>
      <c r="D498" s="174" t="str">
        <f>IF(A498&gt;0,(LOOKUP(A498,'[1]Dz.'!A:A,'[1]Dz.'!B:B)),(IF(B498&gt;0,(LOOKUP(B498,'[1]Roz.'!A:A,'[1]Roz.'!B:B)),(IF(C498&gt;0,(LOOKUP(C498,'[1]par.'!A:A,'[1]par.'!B:B)),0)))))</f>
        <v>Wynagrodzenia bezosobowe</v>
      </c>
      <c r="E498" s="195">
        <v>0</v>
      </c>
      <c r="F498" s="195"/>
      <c r="G498" s="194"/>
      <c r="H498" s="195">
        <f t="shared" si="25"/>
        <v>0</v>
      </c>
      <c r="I498" s="273"/>
      <c r="J498" s="234" t="e">
        <f t="shared" si="26"/>
        <v>#DIV/0!</v>
      </c>
    </row>
    <row r="499" spans="1:10" s="54" customFormat="1" ht="12.75">
      <c r="A499" s="138"/>
      <c r="B499" s="138"/>
      <c r="C499" s="158" t="s">
        <v>156</v>
      </c>
      <c r="D499" s="174" t="str">
        <f>IF(A499&gt;0,(LOOKUP(A499,'[1]Dz.'!A:A,'[1]Dz.'!B:B)),(IF(B499&gt;0,(LOOKUP(B499,'[1]Roz.'!A:A,'[1]Roz.'!B:B)),(IF(C499&gt;0,(LOOKUP(C499,'[1]par.'!A:A,'[1]par.'!B:B)),0)))))</f>
        <v>Zakup materiałów i wyposażenia</v>
      </c>
      <c r="E499" s="195">
        <v>28830</v>
      </c>
      <c r="F499" s="195">
        <v>2595</v>
      </c>
      <c r="G499" s="194"/>
      <c r="H499" s="195">
        <f t="shared" si="25"/>
        <v>31425</v>
      </c>
      <c r="I499" s="273">
        <v>13257.04</v>
      </c>
      <c r="J499" s="234">
        <f t="shared" si="26"/>
        <v>0.4218628480509149</v>
      </c>
    </row>
    <row r="500" spans="1:10" s="54" customFormat="1" ht="12.75">
      <c r="A500" s="138"/>
      <c r="B500" s="138"/>
      <c r="C500" s="158" t="s">
        <v>245</v>
      </c>
      <c r="D500" s="174" t="str">
        <f>IF(A500&gt;0,(LOOKUP(A500,'[1]Dz.'!A:A,'[1]Dz.'!B:B)),(IF(B500&gt;0,(LOOKUP(B500,'[1]Roz.'!A:A,'[1]Roz.'!B:B)),(IF(C500&gt;0,(LOOKUP(C500,'[1]par.'!A:A,'[1]par.'!B:B)),0)))))</f>
        <v>Zakup środków żwyności</v>
      </c>
      <c r="E500" s="195">
        <v>60000</v>
      </c>
      <c r="F500" s="195"/>
      <c r="G500" s="194"/>
      <c r="H500" s="195">
        <f t="shared" si="25"/>
        <v>60000</v>
      </c>
      <c r="I500" s="273">
        <v>44230</v>
      </c>
      <c r="J500" s="234">
        <f t="shared" si="26"/>
        <v>0.7371666666666666</v>
      </c>
    </row>
    <row r="501" spans="1:10" s="54" customFormat="1" ht="12.75">
      <c r="A501" s="138"/>
      <c r="B501" s="138"/>
      <c r="C501" s="158" t="s">
        <v>169</v>
      </c>
      <c r="D501" s="174" t="str">
        <f>IF(A501&gt;0,(LOOKUP(A501,'[1]Dz.'!A:A,'[1]Dz.'!B:B)),(IF(B501&gt;0,(LOOKUP(B501,'[1]Roz.'!A:A,'[1]Roz.'!B:B)),(IF(C501&gt;0,(LOOKUP(C501,'[1]par.'!A:A,'[1]par.'!B:B)),0)))))</f>
        <v>Zakup energii</v>
      </c>
      <c r="E501" s="195">
        <v>139614</v>
      </c>
      <c r="F501" s="195">
        <f>5000+7530+9000</f>
        <v>21530</v>
      </c>
      <c r="G501" s="194"/>
      <c r="H501" s="195">
        <f t="shared" si="25"/>
        <v>161144</v>
      </c>
      <c r="I501" s="273">
        <v>122379.94</v>
      </c>
      <c r="J501" s="234">
        <f t="shared" si="26"/>
        <v>0.7594445961376161</v>
      </c>
    </row>
    <row r="502" spans="1:10" s="54" customFormat="1" ht="12.75">
      <c r="A502" s="138"/>
      <c r="B502" s="138"/>
      <c r="C502" s="158" t="s">
        <v>170</v>
      </c>
      <c r="D502" s="174" t="str">
        <f>IF(A502&gt;0,(LOOKUP(A502,'[1]Dz.'!A:A,'[1]Dz.'!B:B)),(IF(B502&gt;0,(LOOKUP(B502,'[1]Roz.'!A:A,'[1]Roz.'!B:B)),(IF(C502&gt;0,(LOOKUP(C502,'[1]par.'!A:A,'[1]par.'!B:B)),0)))))</f>
        <v>Zakup usług remontowych</v>
      </c>
      <c r="E502" s="195">
        <v>12600</v>
      </c>
      <c r="F502" s="195">
        <v>11139</v>
      </c>
      <c r="G502" s="194"/>
      <c r="H502" s="195">
        <f t="shared" si="25"/>
        <v>23739</v>
      </c>
      <c r="I502" s="273">
        <v>734.57</v>
      </c>
      <c r="J502" s="234">
        <f t="shared" si="26"/>
        <v>0.030943594928177262</v>
      </c>
    </row>
    <row r="503" spans="1:10" s="54" customFormat="1" ht="12.75">
      <c r="A503" s="138"/>
      <c r="B503" s="138"/>
      <c r="C503" s="158" t="s">
        <v>157</v>
      </c>
      <c r="D503" s="174" t="str">
        <f>IF(A503&gt;0,(LOOKUP(A503,'[1]Dz.'!A:A,'[1]Dz.'!B:B)),(IF(B503&gt;0,(LOOKUP(B503,'[1]Roz.'!A:A,'[1]Roz.'!B:B)),(IF(C503&gt;0,(LOOKUP(C503,'[1]par.'!A:A,'[1]par.'!B:B)),0)))))</f>
        <v>Zakup usług pozostałych</v>
      </c>
      <c r="E503" s="195">
        <v>37618</v>
      </c>
      <c r="F503" s="195"/>
      <c r="G503" s="194"/>
      <c r="H503" s="195">
        <f t="shared" si="25"/>
        <v>37618</v>
      </c>
      <c r="I503" s="273">
        <v>14151.45</v>
      </c>
      <c r="J503" s="234">
        <f t="shared" si="26"/>
        <v>0.3761882609389122</v>
      </c>
    </row>
    <row r="504" spans="1:10" s="54" customFormat="1" ht="38.25">
      <c r="A504" s="138"/>
      <c r="B504" s="138"/>
      <c r="C504" s="150" t="s">
        <v>173</v>
      </c>
      <c r="D504" s="174" t="str">
        <f>IF(A504&gt;0,(LOOKUP(A504,'[1]Dz.'!A:A,'[1]Dz.'!B:B)),(IF(B504&gt;0,(LOOKUP(B504,'[1]Roz.'!A:A,'[1]Roz.'!B:B)),(IF(C504&gt;0,(LOOKUP(C504,'[1]par.'!A:A,'[1]par.'!B:B)),0)))))</f>
        <v>Opłaty z tytułu zakupu usług telekomunikacyjnych telefonii stacjonarnej</v>
      </c>
      <c r="E504" s="195">
        <v>2912</v>
      </c>
      <c r="F504" s="195"/>
      <c r="G504" s="194"/>
      <c r="H504" s="195">
        <f t="shared" si="25"/>
        <v>2912</v>
      </c>
      <c r="I504" s="273">
        <v>274.5</v>
      </c>
      <c r="J504" s="234">
        <f t="shared" si="26"/>
        <v>0.09426510989010989</v>
      </c>
    </row>
    <row r="505" spans="1:10" s="54" customFormat="1" ht="12.75">
      <c r="A505" s="138"/>
      <c r="B505" s="138"/>
      <c r="C505" s="158" t="s">
        <v>174</v>
      </c>
      <c r="D505" s="174" t="str">
        <f>IF(A505&gt;0,(LOOKUP(A505,'[1]Dz.'!A:A,'[1]Dz.'!B:B)),(IF(B505&gt;0,(LOOKUP(B505,'[1]Roz.'!A:A,'[1]Roz.'!B:B)),(IF(C505&gt;0,(LOOKUP(C505,'[1]par.'!A:A,'[1]par.'!B:B)),0)))))</f>
        <v>Podróże służbowe krajowe</v>
      </c>
      <c r="E505" s="195">
        <v>1000</v>
      </c>
      <c r="F505" s="195"/>
      <c r="G505" s="194"/>
      <c r="H505" s="195">
        <f t="shared" si="25"/>
        <v>1000</v>
      </c>
      <c r="I505" s="273">
        <v>730.9</v>
      </c>
      <c r="J505" s="234">
        <f t="shared" si="26"/>
        <v>0.7309</v>
      </c>
    </row>
    <row r="506" spans="1:10" s="54" customFormat="1" ht="25.5">
      <c r="A506" s="138"/>
      <c r="B506" s="138"/>
      <c r="C506" s="158" t="s">
        <v>176</v>
      </c>
      <c r="D506" s="174" t="str">
        <f>IF(A506&gt;0,(LOOKUP(A506,'[1]Dz.'!A:A,'[1]Dz.'!B:B)),(IF(B506&gt;0,(LOOKUP(B506,'[1]Roz.'!A:A,'[1]Roz.'!B:B)),(IF(C506&gt;0,(LOOKUP(C506,'[1]par.'!A:A,'[1]par.'!B:B)),0)))))</f>
        <v>Odpisy na zakladowy fundusz świadczeń socjalnych</v>
      </c>
      <c r="E506" s="195">
        <v>18144</v>
      </c>
      <c r="F506" s="195"/>
      <c r="G506" s="194"/>
      <c r="H506" s="195">
        <f t="shared" si="25"/>
        <v>18144</v>
      </c>
      <c r="I506" s="273">
        <v>13608.5</v>
      </c>
      <c r="J506" s="234">
        <f t="shared" si="26"/>
        <v>0.750027557319224</v>
      </c>
    </row>
    <row r="507" spans="1:10" s="54" customFormat="1" ht="25.5" hidden="1">
      <c r="A507" s="138"/>
      <c r="B507" s="138"/>
      <c r="C507" s="158" t="s">
        <v>185</v>
      </c>
      <c r="D507" s="174" t="str">
        <f>IF(A507&gt;0,(LOOKUP(A507,'[1]Dz.'!A:A,'[1]Dz.'!B:B)),(IF(B507&gt;0,(LOOKUP(B507,'[1]Roz.'!A:A,'[1]Roz.'!B:B)),(IF(C507&gt;0,(LOOKUP(C507,'[1]par.'!A:A,'[1]par.'!B:B)),0)))))</f>
        <v>Wydatki na zakupy inwestycyjne jednostek budżetowych</v>
      </c>
      <c r="E507" s="195">
        <v>0</v>
      </c>
      <c r="F507" s="195"/>
      <c r="G507" s="194"/>
      <c r="H507" s="195">
        <f t="shared" si="25"/>
        <v>0</v>
      </c>
      <c r="I507" s="273"/>
      <c r="J507" s="234" t="e">
        <f t="shared" si="26"/>
        <v>#DIV/0!</v>
      </c>
    </row>
    <row r="508" spans="1:10" s="137" customFormat="1" ht="38.25">
      <c r="A508" s="134"/>
      <c r="B508" s="135" t="s">
        <v>141</v>
      </c>
      <c r="C508" s="157"/>
      <c r="D508" s="175" t="str">
        <f>IF(A508&gt;0,(LOOKUP(A508,'[1]Dz.'!A:A,'[1]Dz.'!B:B)),(IF(B508&gt;0,(LOOKUP(B508,'[1]Roz.'!A:A,'[1]Roz.'!B:B)),(IF(C508&gt;0,(LOOKUP(C508,'[1]par.'!A:A,'[1]par.'!B:B)),0)))))</f>
        <v>Kolonie i obozy oraz inne formy wypoczynku dzieci i młodzieży szkolnej</v>
      </c>
      <c r="E508" s="192">
        <f>E509</f>
        <v>5000</v>
      </c>
      <c r="F508" s="192">
        <f>F509</f>
        <v>0</v>
      </c>
      <c r="G508" s="192">
        <f>G509</f>
        <v>0</v>
      </c>
      <c r="H508" s="192">
        <f t="shared" si="25"/>
        <v>5000</v>
      </c>
      <c r="I508" s="265">
        <f>I509</f>
        <v>2500</v>
      </c>
      <c r="J508" s="226">
        <f t="shared" si="26"/>
        <v>0.5</v>
      </c>
    </row>
    <row r="509" spans="1:10" s="54" customFormat="1" ht="38.25">
      <c r="A509" s="138"/>
      <c r="B509" s="138"/>
      <c r="C509" s="158" t="s">
        <v>227</v>
      </c>
      <c r="D509" s="174" t="str">
        <f>IF(A509&gt;0,(LOOKUP(A509,'[1]Dz.'!A:A,'[1]Dz.'!B:B)),(IF(B509&gt;0,(LOOKUP(B509,'[1]Roz.'!A:A,'[1]Roz.'!B:B)),(IF(C509&gt;0,(LOOKUP(C509,'[1]par.'!A:A,'[1]par.'!B:B)),0)))))</f>
        <v>Dotacja celowa z budżetu na finansowanie lub dofinansowanie zada zleconych do realizacji stowarzyszeniom</v>
      </c>
      <c r="E509" s="195">
        <v>5000</v>
      </c>
      <c r="F509" s="195"/>
      <c r="G509" s="194"/>
      <c r="H509" s="195">
        <f t="shared" si="25"/>
        <v>5000</v>
      </c>
      <c r="I509" s="273">
        <v>2500</v>
      </c>
      <c r="J509" s="234">
        <f t="shared" si="26"/>
        <v>0.5</v>
      </c>
    </row>
    <row r="510" spans="1:10" s="137" customFormat="1" ht="12.75">
      <c r="A510" s="134"/>
      <c r="B510" s="135" t="s">
        <v>142</v>
      </c>
      <c r="C510" s="157"/>
      <c r="D510" s="175" t="str">
        <f>IF(A510&gt;0,(LOOKUP(A510,'[1]Dz.'!A:A,'[1]Dz.'!B:B)),(IF(B510&gt;0,(LOOKUP(B510,'[1]Roz.'!A:A,'[1]Roz.'!B:B)),(IF(C510&gt;0,(LOOKUP(C510,'[1]par.'!A:A,'[1]par.'!B:B)),0)))))</f>
        <v>Pomoc materialna dla uczniów</v>
      </c>
      <c r="E510" s="192">
        <f>SUM(E511:E513)</f>
        <v>0</v>
      </c>
      <c r="F510" s="192">
        <f>SUM(F511:F513)</f>
        <v>617141</v>
      </c>
      <c r="G510" s="192">
        <f>SUM(G511:G513)</f>
        <v>0</v>
      </c>
      <c r="H510" s="192">
        <f t="shared" si="25"/>
        <v>617141</v>
      </c>
      <c r="I510" s="265">
        <f>SUM(I511:I513)</f>
        <v>387423.10000000003</v>
      </c>
      <c r="J510" s="226">
        <f t="shared" si="26"/>
        <v>0.6277708011621331</v>
      </c>
    </row>
    <row r="511" spans="1:10" s="54" customFormat="1" ht="25.5">
      <c r="A511" s="138"/>
      <c r="B511" s="138"/>
      <c r="C511" s="158" t="s">
        <v>228</v>
      </c>
      <c r="D511" s="174" t="str">
        <f>IF(A511&gt;0,(LOOKUP(A511,'[1]Dz.'!A:A,'[1]Dz.'!B:B)),(IF(B511&gt;0,(LOOKUP(B511,'[1]Roz.'!A:A,'[1]Roz.'!B:B)),(IF(C511&gt;0,(LOOKUP(C511,'[1]par.'!A:A,'[1]par.'!B:B)),0)))))</f>
        <v>Stypendia oraz inne formy pomocy dla uczniów</v>
      </c>
      <c r="E511" s="195"/>
      <c r="F511" s="195">
        <v>138935</v>
      </c>
      <c r="G511" s="194"/>
      <c r="H511" s="195">
        <f t="shared" si="25"/>
        <v>138935</v>
      </c>
      <c r="I511" s="273">
        <v>137044.95</v>
      </c>
      <c r="J511" s="234">
        <f t="shared" si="26"/>
        <v>0.9863961564760501</v>
      </c>
    </row>
    <row r="512" spans="1:10" s="54" customFormat="1" ht="25.5">
      <c r="A512" s="138"/>
      <c r="B512" s="138"/>
      <c r="C512" s="158" t="s">
        <v>254</v>
      </c>
      <c r="D512" s="174" t="str">
        <f>IF(A512&gt;0,(LOOKUP(A512,'[1]Dz.'!A:A,'[1]Dz.'!B:B)),(IF(B512&gt;0,(LOOKUP(B512,'[1]Roz.'!A:A,'[1]Roz.'!B:B)),(IF(C512&gt;0,(LOOKUP(C512,'[1]par.'!A:A,'[1]par.'!B:B)),0)))))</f>
        <v>Stypendia oraz inne formy pomocy dla uczniów</v>
      </c>
      <c r="E512" s="195"/>
      <c r="F512" s="195">
        <v>325419</v>
      </c>
      <c r="G512" s="194"/>
      <c r="H512" s="195">
        <f t="shared" si="25"/>
        <v>325419</v>
      </c>
      <c r="I512" s="273">
        <v>170382.33</v>
      </c>
      <c r="J512" s="234">
        <f t="shared" si="26"/>
        <v>0.5235783098098143</v>
      </c>
    </row>
    <row r="513" spans="1:10" s="54" customFormat="1" ht="25.5">
      <c r="A513" s="138"/>
      <c r="B513" s="138"/>
      <c r="C513" s="158" t="s">
        <v>255</v>
      </c>
      <c r="D513" s="174" t="str">
        <f>IF(A513&gt;0,(LOOKUP(A513,'[1]Dz.'!A:A,'[1]Dz.'!B:B)),(IF(B513&gt;0,(LOOKUP(B513,'[1]Roz.'!A:A,'[1]Roz.'!B:B)),(IF(C513&gt;0,(LOOKUP(C513,'[1]par.'!A:A,'[1]par.'!B:B)),0)))))</f>
        <v>Stypendia oraz inne formy pomocy dla uczniów</v>
      </c>
      <c r="E513" s="195"/>
      <c r="F513" s="195">
        <v>152787</v>
      </c>
      <c r="G513" s="194"/>
      <c r="H513" s="195">
        <f t="shared" si="25"/>
        <v>152787</v>
      </c>
      <c r="I513" s="273">
        <v>79995.82</v>
      </c>
      <c r="J513" s="234">
        <f t="shared" si="26"/>
        <v>0.5235773986006663</v>
      </c>
    </row>
    <row r="514" spans="1:10" s="54" customFormat="1" ht="12.75" hidden="1">
      <c r="A514" s="138"/>
      <c r="B514" s="138"/>
      <c r="C514" s="158" t="s">
        <v>235</v>
      </c>
      <c r="D514" s="174" t="str">
        <f>IF(A514&gt;0,(LOOKUP(A514,'[1]Dz.'!A:A,'[1]Dz.'!B:B)),(IF(B514&gt;0,(LOOKUP(B514,'[1]Roz.'!A:A,'[1]Roz.'!B:B)),(IF(C514&gt;0,(LOOKUP(C514,'[1]par.'!A:A,'[1]par.'!B:B)),0)))))</f>
        <v>Zakup materiałów i wyposażenia</v>
      </c>
      <c r="E514" s="195">
        <v>0</v>
      </c>
      <c r="F514" s="195"/>
      <c r="G514" s="194"/>
      <c r="H514" s="195">
        <f t="shared" si="25"/>
        <v>0</v>
      </c>
      <c r="I514" s="273"/>
      <c r="J514" s="234" t="e">
        <f t="shared" si="26"/>
        <v>#DIV/0!</v>
      </c>
    </row>
    <row r="515" spans="1:10" s="54" customFormat="1" ht="12.75" hidden="1">
      <c r="A515" s="138"/>
      <c r="B515" s="138"/>
      <c r="C515" s="158" t="s">
        <v>236</v>
      </c>
      <c r="D515" s="174" t="str">
        <f>IF(A515&gt;0,(LOOKUP(A515,'[1]Dz.'!A:A,'[1]Dz.'!B:B)),(IF(B515&gt;0,(LOOKUP(B515,'[1]Roz.'!A:A,'[1]Roz.'!B:B)),(IF(C515&gt;0,(LOOKUP(C515,'[1]par.'!A:A,'[1]par.'!B:B)),0)))))</f>
        <v>Zakup materiałów i wyposażenia</v>
      </c>
      <c r="E515" s="195">
        <v>0</v>
      </c>
      <c r="F515" s="195"/>
      <c r="G515" s="194"/>
      <c r="H515" s="195">
        <f t="shared" si="25"/>
        <v>0</v>
      </c>
      <c r="I515" s="273"/>
      <c r="J515" s="234" t="e">
        <f t="shared" si="26"/>
        <v>#DIV/0!</v>
      </c>
    </row>
    <row r="516" spans="1:10" s="54" customFormat="1" ht="12.75" hidden="1">
      <c r="A516" s="138"/>
      <c r="B516" s="138"/>
      <c r="C516" s="158" t="s">
        <v>237</v>
      </c>
      <c r="D516" s="174" t="str">
        <f>IF(A516&gt;0,(LOOKUP(A516,'[1]Dz.'!A:A,'[1]Dz.'!B:B)),(IF(B516&gt;0,(LOOKUP(B516,'[1]Roz.'!A:A,'[1]Roz.'!B:B)),(IF(C516&gt;0,(LOOKUP(C516,'[1]par.'!A:A,'[1]par.'!B:B)),0)))))</f>
        <v>Zakup usług pozostałych</v>
      </c>
      <c r="E516" s="195">
        <v>0</v>
      </c>
      <c r="F516" s="195"/>
      <c r="G516" s="194"/>
      <c r="H516" s="195">
        <f t="shared" si="25"/>
        <v>0</v>
      </c>
      <c r="I516" s="273"/>
      <c r="J516" s="234" t="e">
        <f t="shared" si="26"/>
        <v>#DIV/0!</v>
      </c>
    </row>
    <row r="517" spans="1:10" s="54" customFormat="1" ht="12.75" hidden="1">
      <c r="A517" s="138"/>
      <c r="B517" s="138"/>
      <c r="C517" s="158" t="s">
        <v>238</v>
      </c>
      <c r="D517" s="174" t="str">
        <f>IF(A517&gt;0,(LOOKUP(A517,'[1]Dz.'!A:A,'[1]Dz.'!B:B)),(IF(B517&gt;0,(LOOKUP(B517,'[1]Roz.'!A:A,'[1]Roz.'!B:B)),(IF(C517&gt;0,(LOOKUP(C517,'[1]par.'!A:A,'[1]par.'!B:B)),0)))))</f>
        <v>Zakup usług pozostałych</v>
      </c>
      <c r="E517" s="195">
        <v>0</v>
      </c>
      <c r="F517" s="195"/>
      <c r="G517" s="194"/>
      <c r="H517" s="195">
        <f t="shared" si="25"/>
        <v>0</v>
      </c>
      <c r="I517" s="273"/>
      <c r="J517" s="234" t="e">
        <f t="shared" si="26"/>
        <v>#DIV/0!</v>
      </c>
    </row>
    <row r="518" spans="1:10" s="137" customFormat="1" ht="12.75">
      <c r="A518" s="134"/>
      <c r="B518" s="135" t="s">
        <v>143</v>
      </c>
      <c r="C518" s="157"/>
      <c r="D518" s="175" t="str">
        <f>IF(A518&gt;0,(LOOKUP(A518,'[1]Dz.'!A:A,'[1]Dz.'!B:B)),(IF(B518&gt;0,(LOOKUP(B518,'[1]Roz.'!A:A,'[1]Roz.'!B:B)),(IF(C518&gt;0,(LOOKUP(C518,'[1]par.'!A:A,'[1]par.'!B:B)),0)))))</f>
        <v>Szkolne schroniska młodzieżowe</v>
      </c>
      <c r="E518" s="192">
        <f>E519</f>
        <v>2100</v>
      </c>
      <c r="F518" s="192">
        <f>F519</f>
        <v>0</v>
      </c>
      <c r="G518" s="192">
        <f>G519</f>
        <v>0</v>
      </c>
      <c r="H518" s="192">
        <f t="shared" si="25"/>
        <v>2100</v>
      </c>
      <c r="I518" s="265">
        <f>I519</f>
        <v>0</v>
      </c>
      <c r="J518" s="226">
        <f aca="true" t="shared" si="27" ref="J518:J547">I518/H518</f>
        <v>0</v>
      </c>
    </row>
    <row r="519" spans="1:10" s="54" customFormat="1" ht="51">
      <c r="A519" s="138"/>
      <c r="B519" s="138"/>
      <c r="C519" s="158" t="s">
        <v>256</v>
      </c>
      <c r="D519" s="174" t="str">
        <f>IF(A519&gt;0,(LOOKUP(A519,'[1]Dz.'!A:A,'[1]Dz.'!B:B)),(IF(B519&gt;0,(LOOKUP(B519,'[1]Roz.'!A:A,'[1]Roz.'!B:B)),(IF(C519&gt;0,(LOOKUP(C519,'[1]par.'!A:A,'[1]par.'!B:B)),0)))))</f>
        <v>Dotacje celowe przekazane gminie  na zadania bieżące realizowane na podstawie porozumień (umów) między jednostkami samorzadu terytorialnego</v>
      </c>
      <c r="E519" s="195">
        <v>2100</v>
      </c>
      <c r="F519" s="195"/>
      <c r="G519" s="194"/>
      <c r="H519" s="195">
        <f t="shared" si="25"/>
        <v>2100</v>
      </c>
      <c r="I519" s="273"/>
      <c r="J519" s="234">
        <f t="shared" si="27"/>
        <v>0</v>
      </c>
    </row>
    <row r="520" spans="1:10" s="54" customFormat="1" ht="12.75" hidden="1">
      <c r="A520" s="138"/>
      <c r="B520" s="138"/>
      <c r="C520" s="158" t="s">
        <v>165</v>
      </c>
      <c r="D520" s="174" t="str">
        <f>IF(A520&gt;0,(LOOKUP(A520,'[1]Dz.'!A:A,'[1]Dz.'!B:B)),(IF(B520&gt;0,(LOOKUP(B520,'[1]Roz.'!A:A,'[1]Roz.'!B:B)),(IF(C520&gt;0,(LOOKUP(C520,'[1]par.'!A:A,'[1]par.'!B:B)),0)))))</f>
        <v>Składki na ubezpieczenia społeczne</v>
      </c>
      <c r="E520" s="195">
        <v>0</v>
      </c>
      <c r="F520" s="195"/>
      <c r="G520" s="194"/>
      <c r="H520" s="195">
        <f t="shared" si="25"/>
        <v>0</v>
      </c>
      <c r="I520" s="273"/>
      <c r="J520" s="234" t="e">
        <f t="shared" si="27"/>
        <v>#DIV/0!</v>
      </c>
    </row>
    <row r="521" spans="1:10" s="54" customFormat="1" ht="12.75" hidden="1">
      <c r="A521" s="138"/>
      <c r="B521" s="138"/>
      <c r="C521" s="158" t="s">
        <v>166</v>
      </c>
      <c r="D521" s="174" t="str">
        <f>IF(A521&gt;0,(LOOKUP(A521,'[1]Dz.'!A:A,'[1]Dz.'!B:B)),(IF(B521&gt;0,(LOOKUP(B521,'[1]Roz.'!A:A,'[1]Roz.'!B:B)),(IF(C521&gt;0,(LOOKUP(C521,'[1]par.'!A:A,'[1]par.'!B:B)),0)))))</f>
        <v>Składki na Fundusz Pracy</v>
      </c>
      <c r="E521" s="195">
        <v>0</v>
      </c>
      <c r="F521" s="195"/>
      <c r="G521" s="194"/>
      <c r="H521" s="195">
        <f t="shared" si="25"/>
        <v>0</v>
      </c>
      <c r="I521" s="273"/>
      <c r="J521" s="234" t="e">
        <f t="shared" si="27"/>
        <v>#DIV/0!</v>
      </c>
    </row>
    <row r="522" spans="1:10" s="54" customFormat="1" ht="12.75" hidden="1">
      <c r="A522" s="138"/>
      <c r="B522" s="138"/>
      <c r="C522" s="158" t="s">
        <v>156</v>
      </c>
      <c r="D522" s="174" t="str">
        <f>IF(A522&gt;0,(LOOKUP(A522,'[1]Dz.'!A:A,'[1]Dz.'!B:B)),(IF(B522&gt;0,(LOOKUP(B522,'[1]Roz.'!A:A,'[1]Roz.'!B:B)),(IF(C522&gt;0,(LOOKUP(C522,'[1]par.'!A:A,'[1]par.'!B:B)),0)))))</f>
        <v>Zakup materiałów i wyposażenia</v>
      </c>
      <c r="E522" s="195">
        <v>0</v>
      </c>
      <c r="F522" s="195"/>
      <c r="G522" s="194"/>
      <c r="H522" s="195">
        <f t="shared" si="25"/>
        <v>0</v>
      </c>
      <c r="I522" s="273"/>
      <c r="J522" s="234" t="e">
        <f t="shared" si="27"/>
        <v>#DIV/0!</v>
      </c>
    </row>
    <row r="523" spans="1:10" s="54" customFormat="1" ht="12.75" hidden="1">
      <c r="A523" s="138"/>
      <c r="B523" s="138"/>
      <c r="C523" s="158" t="s">
        <v>169</v>
      </c>
      <c r="D523" s="174" t="str">
        <f>IF(A523&gt;0,(LOOKUP(A523,'[1]Dz.'!A:A,'[1]Dz.'!B:B)),(IF(B523&gt;0,(LOOKUP(B523,'[1]Roz.'!A:A,'[1]Roz.'!B:B)),(IF(C523&gt;0,(LOOKUP(C523,'[1]par.'!A:A,'[1]par.'!B:B)),0)))))</f>
        <v>Zakup energii</v>
      </c>
      <c r="E523" s="195">
        <v>0</v>
      </c>
      <c r="F523" s="195"/>
      <c r="G523" s="194"/>
      <c r="H523" s="195">
        <f t="shared" si="25"/>
        <v>0</v>
      </c>
      <c r="I523" s="273"/>
      <c r="J523" s="234" t="e">
        <f t="shared" si="27"/>
        <v>#DIV/0!</v>
      </c>
    </row>
    <row r="524" spans="1:10" s="54" customFormat="1" ht="12.75" hidden="1">
      <c r="A524" s="138"/>
      <c r="B524" s="138"/>
      <c r="C524" s="158" t="s">
        <v>174</v>
      </c>
      <c r="D524" s="174" t="str">
        <f>IF(A524&gt;0,(LOOKUP(A524,'[1]Dz.'!A:A,'[1]Dz.'!B:B)),(IF(B524&gt;0,(LOOKUP(B524,'[1]Roz.'!A:A,'[1]Roz.'!B:B)),(IF(C524&gt;0,(LOOKUP(C524,'[1]par.'!A:A,'[1]par.'!B:B)),0)))))</f>
        <v>Podróże służbowe krajowe</v>
      </c>
      <c r="E524" s="195">
        <v>0</v>
      </c>
      <c r="F524" s="195"/>
      <c r="G524" s="194"/>
      <c r="H524" s="195">
        <f t="shared" si="25"/>
        <v>0</v>
      </c>
      <c r="I524" s="273"/>
      <c r="J524" s="234" t="e">
        <f t="shared" si="27"/>
        <v>#DIV/0!</v>
      </c>
    </row>
    <row r="525" spans="1:10" s="137" customFormat="1" ht="25.5">
      <c r="A525" s="134"/>
      <c r="B525" s="135" t="s">
        <v>144</v>
      </c>
      <c r="C525" s="157"/>
      <c r="D525" s="175" t="str">
        <f>IF(A525&gt;0,(LOOKUP(A525,'[1]Dz.'!A:A,'[1]Dz.'!B:B)),(IF(B525&gt;0,(LOOKUP(B525,'[1]Roz.'!A:A,'[1]Roz.'!B:B)),(IF(C525&gt;0,(LOOKUP(C525,'[1]par.'!A:A,'[1]par.'!B:B)),0)))))</f>
        <v>Dokształcanie i doskonalenie nauczycieli</v>
      </c>
      <c r="E525" s="192">
        <f>E526</f>
        <v>0</v>
      </c>
      <c r="F525" s="192">
        <f>F526</f>
        <v>3835</v>
      </c>
      <c r="G525" s="192">
        <f>G526</f>
        <v>0</v>
      </c>
      <c r="H525" s="192">
        <f t="shared" si="25"/>
        <v>3835</v>
      </c>
      <c r="I525" s="265">
        <f>I526</f>
        <v>1903.4</v>
      </c>
      <c r="J525" s="226">
        <f t="shared" si="27"/>
        <v>0.4963233376792699</v>
      </c>
    </row>
    <row r="526" spans="1:10" s="54" customFormat="1" ht="12.75">
      <c r="A526" s="145"/>
      <c r="B526" s="145"/>
      <c r="C526" s="179" t="s">
        <v>157</v>
      </c>
      <c r="D526" s="180" t="str">
        <f>IF(A526&gt;0,(LOOKUP(A526,'[1]Dz.'!A:A,'[1]Dz.'!B:B)),(IF(B526&gt;0,(LOOKUP(B526,'[1]Roz.'!A:A,'[1]Roz.'!B:B)),(IF(C526&gt;0,(LOOKUP(C526,'[1]par.'!A:A,'[1]par.'!B:B)),0)))))</f>
        <v>Zakup usług pozostałych</v>
      </c>
      <c r="E526" s="199"/>
      <c r="F526" s="199">
        <v>3835</v>
      </c>
      <c r="G526" s="198"/>
      <c r="H526" s="199">
        <f t="shared" si="25"/>
        <v>3835</v>
      </c>
      <c r="I526" s="277">
        <v>1903.4</v>
      </c>
      <c r="J526" s="238">
        <f t="shared" si="27"/>
        <v>0.4963233376792699</v>
      </c>
    </row>
    <row r="527" spans="1:10" s="43" customFormat="1" ht="25.5">
      <c r="A527" s="41">
        <v>921</v>
      </c>
      <c r="B527" s="41"/>
      <c r="C527" s="41"/>
      <c r="D527" s="50" t="str">
        <f>IF(A527&gt;0,(LOOKUP(A527,'[1]Dz.'!A:A,'[1]Dz.'!B:B)),(IF(B527&gt;0,(LOOKUP(B527,'[1]Roz.'!A:A,'[1]Roz.'!B:B)),(IF(C527&gt;0,(LOOKUP(C527,'[1]par.'!A:A,'[1]par.'!B:B)),0)))))</f>
        <v>Kultura i ochrona dziedzictwa narodowego</v>
      </c>
      <c r="E527" s="190">
        <f>E528+E537</f>
        <v>64500</v>
      </c>
      <c r="F527" s="190">
        <f>F528+F537</f>
        <v>10544</v>
      </c>
      <c r="G527" s="190">
        <f>G528+G537</f>
        <v>9000</v>
      </c>
      <c r="H527" s="190">
        <f t="shared" si="25"/>
        <v>66044</v>
      </c>
      <c r="I527" s="276">
        <f>I528+I537</f>
        <v>59405.93</v>
      </c>
      <c r="J527" s="237">
        <f t="shared" si="27"/>
        <v>0.8994901883592756</v>
      </c>
    </row>
    <row r="528" spans="1:10" s="137" customFormat="1" ht="12.75">
      <c r="A528" s="134"/>
      <c r="B528" s="135" t="s">
        <v>145</v>
      </c>
      <c r="C528" s="135"/>
      <c r="D528" s="175" t="str">
        <f>IF(A528&gt;0,(LOOKUP(A528,'[1]Dz.'!A:A,'[1]Dz.'!B:B)),(IF(B528&gt;0,(LOOKUP(B528,'[1]Roz.'!A:A,'[1]Roz.'!B:B)),(IF(C528&gt;0,(LOOKUP(C528,'[1]par.'!A:A,'[1]par.'!B:B)),0)))))</f>
        <v>Pozostałe zadania w zakresie kultury</v>
      </c>
      <c r="E528" s="192">
        <f>SUM(E532:E536)</f>
        <v>49500</v>
      </c>
      <c r="F528" s="192">
        <f>SUM(F532:F536)</f>
        <v>10544</v>
      </c>
      <c r="G528" s="192">
        <f>SUM(G532:G536)</f>
        <v>9000</v>
      </c>
      <c r="H528" s="192">
        <f t="shared" si="25"/>
        <v>51044</v>
      </c>
      <c r="I528" s="265">
        <f>SUM(I532:I536)</f>
        <v>44405.93</v>
      </c>
      <c r="J528" s="226">
        <f t="shared" si="27"/>
        <v>0.8699539612883003</v>
      </c>
    </row>
    <row r="529" spans="1:10" s="54" customFormat="1" ht="51" hidden="1">
      <c r="A529" s="138"/>
      <c r="B529" s="138"/>
      <c r="C529" s="138" t="s">
        <v>256</v>
      </c>
      <c r="D529" s="174" t="str">
        <f>IF(A529&gt;0,(LOOKUP(A529,'[1]Dz.'!A:A,'[1]Dz.'!B:B)),(IF(B529&gt;0,(LOOKUP(B529,'[1]Roz.'!A:A,'[1]Roz.'!B:B)),(IF(C529&gt;0,(LOOKUP(C529,'[1]par.'!A:A,'[1]par.'!B:B)),0)))))</f>
        <v>Dotacje celowe przekazane gminie  na zadania bieżące realizowane na podstawie porozumień (umów) między jednostkami samorzadu terytorialnego</v>
      </c>
      <c r="E529" s="195">
        <v>0</v>
      </c>
      <c r="F529" s="195"/>
      <c r="G529" s="195"/>
      <c r="H529" s="195">
        <f t="shared" si="25"/>
        <v>0</v>
      </c>
      <c r="I529" s="262"/>
      <c r="J529" s="223" t="e">
        <f t="shared" si="27"/>
        <v>#DIV/0!</v>
      </c>
    </row>
    <row r="530" spans="1:10" s="54" customFormat="1" ht="38.25" hidden="1">
      <c r="A530" s="138"/>
      <c r="B530" s="138"/>
      <c r="C530" s="138" t="s">
        <v>227</v>
      </c>
      <c r="D530" s="174" t="str">
        <f>IF(A530&gt;0,(LOOKUP(A530,'[1]Dz.'!A:A,'[1]Dz.'!B:B)),(IF(B530&gt;0,(LOOKUP(B530,'[1]Roz.'!A:A,'[1]Roz.'!B:B)),(IF(C530&gt;0,(LOOKUP(C530,'[1]par.'!A:A,'[1]par.'!B:B)),0)))))</f>
        <v>Dotacja celowa z budżetu na finansowanie lub dofinansowanie zada zleconych do realizacji stowarzyszeniom</v>
      </c>
      <c r="E530" s="195">
        <v>0</v>
      </c>
      <c r="F530" s="195"/>
      <c r="G530" s="195"/>
      <c r="H530" s="195">
        <f t="shared" si="25"/>
        <v>0</v>
      </c>
      <c r="I530" s="262"/>
      <c r="J530" s="223" t="e">
        <f t="shared" si="27"/>
        <v>#DIV/0!</v>
      </c>
    </row>
    <row r="531" spans="1:10" s="54" customFormat="1" ht="63.75" hidden="1">
      <c r="A531" s="138"/>
      <c r="B531" s="138"/>
      <c r="C531" s="138" t="s">
        <v>257</v>
      </c>
      <c r="D531" s="174" t="str">
        <f>IF(A531&gt;0,(LOOKUP(A531,'[1]Dz.'!A:A,'[1]Dz.'!B:B)),(IF(B531&gt;0,(LOOKUP(B531,'[1]Roz.'!A:A,'[1]Roz.'!B:B)),(IF(C531&gt;0,(LOOKUP(C531,'[1]par.'!A:A,'[1]par.'!B:B)),0)))))</f>
        <v>Dotacja celowa z budżetu na finansowanie lub dofinansowanie zadań zleconych do realizacji pozostałym jednostkom niezaliczanych do sektora finansów publicznych</v>
      </c>
      <c r="E531" s="195">
        <v>0</v>
      </c>
      <c r="F531" s="195"/>
      <c r="G531" s="195"/>
      <c r="H531" s="195">
        <f t="shared" si="25"/>
        <v>0</v>
      </c>
      <c r="I531" s="262"/>
      <c r="J531" s="223" t="e">
        <f t="shared" si="27"/>
        <v>#DIV/0!</v>
      </c>
    </row>
    <row r="532" spans="1:10" s="54" customFormat="1" ht="38.25">
      <c r="A532" s="138"/>
      <c r="B532" s="138"/>
      <c r="C532" s="167">
        <v>2820</v>
      </c>
      <c r="D532" s="174" t="s">
        <v>278</v>
      </c>
      <c r="E532" s="195"/>
      <c r="F532" s="195">
        <v>2000</v>
      </c>
      <c r="G532" s="195"/>
      <c r="H532" s="195">
        <f t="shared" si="25"/>
        <v>2000</v>
      </c>
      <c r="I532" s="262">
        <v>2000</v>
      </c>
      <c r="J532" s="223">
        <f t="shared" si="27"/>
        <v>1</v>
      </c>
    </row>
    <row r="533" spans="1:10" s="54" customFormat="1" ht="63.75">
      <c r="A533" s="138"/>
      <c r="B533" s="138"/>
      <c r="C533" s="167">
        <v>2830</v>
      </c>
      <c r="D533" s="174" t="s">
        <v>279</v>
      </c>
      <c r="E533" s="195"/>
      <c r="F533" s="195">
        <v>5500</v>
      </c>
      <c r="G533" s="195"/>
      <c r="H533" s="195">
        <f>E533+F533-G533</f>
        <v>5500</v>
      </c>
      <c r="I533" s="262">
        <v>3500</v>
      </c>
      <c r="J533" s="223">
        <f t="shared" si="27"/>
        <v>0.6363636363636364</v>
      </c>
    </row>
    <row r="534" spans="1:10" s="54" customFormat="1" ht="12.75">
      <c r="A534" s="138"/>
      <c r="B534" s="138"/>
      <c r="C534" s="158" t="s">
        <v>168</v>
      </c>
      <c r="D534" s="174" t="str">
        <f>IF(A534&gt;0,(LOOKUP(A534,'[1]Dz.'!A:A,'[1]Dz.'!B:B)),(IF(B534&gt;0,(LOOKUP(B534,'[1]Roz.'!A:A,'[1]Roz.'!B:B)),(IF(C534&gt;0,(LOOKUP(C534,'[1]par.'!A:A,'[1]par.'!B:B)),0)))))</f>
        <v>Wynagrodzenia bezosobowe</v>
      </c>
      <c r="E534" s="195"/>
      <c r="F534" s="195">
        <v>813</v>
      </c>
      <c r="G534" s="194"/>
      <c r="H534" s="195">
        <f>E534+F534-G534</f>
        <v>813</v>
      </c>
      <c r="I534" s="273">
        <v>813</v>
      </c>
      <c r="J534" s="234">
        <f t="shared" si="27"/>
        <v>1</v>
      </c>
    </row>
    <row r="535" spans="1:10" s="54" customFormat="1" ht="12.75">
      <c r="A535" s="138"/>
      <c r="B535" s="138"/>
      <c r="C535" s="138" t="s">
        <v>156</v>
      </c>
      <c r="D535" s="174" t="str">
        <f>IF(A535&gt;0,(LOOKUP(A535,'[1]Dz.'!A:A,'[1]Dz.'!B:B)),(IF(B535&gt;0,(LOOKUP(B535,'[1]Roz.'!A:A,'[1]Roz.'!B:B)),(IF(C535&gt;0,(LOOKUP(C535,'[1]par.'!A:A,'[1]par.'!B:B)),0)))))</f>
        <v>Zakup materiałów i wyposażenia</v>
      </c>
      <c r="E535" s="195">
        <v>29000</v>
      </c>
      <c r="F535" s="195"/>
      <c r="G535" s="195">
        <f>7500+1500</f>
        <v>9000</v>
      </c>
      <c r="H535" s="195">
        <f>E535+F535-G535</f>
        <v>20000</v>
      </c>
      <c r="I535" s="262">
        <v>17106.72</v>
      </c>
      <c r="J535" s="223">
        <f t="shared" si="27"/>
        <v>0.8553360000000001</v>
      </c>
    </row>
    <row r="536" spans="1:10" s="54" customFormat="1" ht="12.75">
      <c r="A536" s="138"/>
      <c r="B536" s="138"/>
      <c r="C536" s="138" t="s">
        <v>157</v>
      </c>
      <c r="D536" s="174" t="str">
        <f>IF(A536&gt;0,(LOOKUP(A536,'[1]Dz.'!A:A,'[1]Dz.'!B:B)),(IF(B536&gt;0,(LOOKUP(B536,'[1]Roz.'!A:A,'[1]Roz.'!B:B)),(IF(C536&gt;0,(LOOKUP(C536,'[1]par.'!A:A,'[1]par.'!B:B)),0)))))</f>
        <v>Zakup usług pozostałych</v>
      </c>
      <c r="E536" s="195">
        <v>20500</v>
      </c>
      <c r="F536" s="195">
        <v>2231</v>
      </c>
      <c r="G536" s="195"/>
      <c r="H536" s="195">
        <f t="shared" si="25"/>
        <v>22731</v>
      </c>
      <c r="I536" s="262">
        <v>20986.21</v>
      </c>
      <c r="J536" s="223">
        <f t="shared" si="27"/>
        <v>0.9232418283401522</v>
      </c>
    </row>
    <row r="537" spans="1:10" s="137" customFormat="1" ht="12.75">
      <c r="A537" s="134"/>
      <c r="B537" s="135" t="s">
        <v>146</v>
      </c>
      <c r="C537" s="135"/>
      <c r="D537" s="175" t="str">
        <f>IF(A537&gt;0,(LOOKUP(A537,'[1]Dz.'!A:A,'[1]Dz.'!B:B)),(IF(B537&gt;0,(LOOKUP(B537,'[1]Roz.'!A:A,'[1]Roz.'!B:B)),(IF(C537&gt;0,(LOOKUP(C537,'[1]par.'!A:A,'[1]par.'!B:B)),0)))))</f>
        <v>Biblioteki</v>
      </c>
      <c r="E537" s="192">
        <f>E538</f>
        <v>15000</v>
      </c>
      <c r="F537" s="192">
        <f>F538</f>
        <v>0</v>
      </c>
      <c r="G537" s="192">
        <f>G538</f>
        <v>0</v>
      </c>
      <c r="H537" s="192">
        <f t="shared" si="25"/>
        <v>15000</v>
      </c>
      <c r="I537" s="265">
        <f>I538</f>
        <v>15000</v>
      </c>
      <c r="J537" s="226">
        <f t="shared" si="27"/>
        <v>1</v>
      </c>
    </row>
    <row r="538" spans="1:10" s="54" customFormat="1" ht="51">
      <c r="A538" s="147"/>
      <c r="B538" s="147"/>
      <c r="C538" s="147" t="s">
        <v>256</v>
      </c>
      <c r="D538" s="181" t="str">
        <f>IF(A538&gt;0,(LOOKUP(A538,'[1]Dz.'!A:A,'[1]Dz.'!B:B)),(IF(B538&gt;0,(LOOKUP(B538,'[1]Roz.'!A:A,'[1]Roz.'!B:B)),(IF(C538&gt;0,(LOOKUP(C538,'[1]par.'!A:A,'[1]par.'!B:B)),0)))))</f>
        <v>Dotacje celowe przekazane gminie  na zadania bieżące realizowane na podstawie porozumień (umów) między jednostkami samorzadu terytorialnego</v>
      </c>
      <c r="E538" s="201">
        <v>15000</v>
      </c>
      <c r="F538" s="201"/>
      <c r="G538" s="201"/>
      <c r="H538" s="201">
        <f t="shared" si="25"/>
        <v>15000</v>
      </c>
      <c r="I538" s="266">
        <v>15000</v>
      </c>
      <c r="J538" s="227">
        <f t="shared" si="27"/>
        <v>1</v>
      </c>
    </row>
    <row r="539" spans="1:10" s="43" customFormat="1" ht="12.75">
      <c r="A539" s="41">
        <v>926</v>
      </c>
      <c r="B539" s="41"/>
      <c r="C539" s="41"/>
      <c r="D539" s="50" t="str">
        <f>IF(A539&gt;0,(LOOKUP(A539,'[1]Dz.'!A:A,'[1]Dz.'!B:B)),(IF(B539&gt;0,(LOOKUP(B539,'[1]Roz.'!A:A,'[1]Roz.'!B:B)),(IF(C539&gt;0,(LOOKUP(C539,'[1]par.'!A:A,'[1]par.'!B:B)),0)))))</f>
        <v>Kultura fizyczna i sport</v>
      </c>
      <c r="E539" s="190">
        <f>E540</f>
        <v>31500</v>
      </c>
      <c r="F539" s="190">
        <f>F540</f>
        <v>11100</v>
      </c>
      <c r="G539" s="190">
        <f>G540</f>
        <v>8100</v>
      </c>
      <c r="H539" s="190">
        <f t="shared" si="25"/>
        <v>34500</v>
      </c>
      <c r="I539" s="276">
        <f>I540</f>
        <v>26237.469999999998</v>
      </c>
      <c r="J539" s="237">
        <f t="shared" si="27"/>
        <v>0.7605063768115942</v>
      </c>
    </row>
    <row r="540" spans="1:10" s="137" customFormat="1" ht="12.75">
      <c r="A540" s="134"/>
      <c r="B540" s="135" t="s">
        <v>147</v>
      </c>
      <c r="C540" s="135"/>
      <c r="D540" s="175" t="str">
        <f>IF(A540&gt;0,(LOOKUP(A540,'[1]Dz.'!A:A,'[1]Dz.'!B:B)),(IF(B540&gt;0,(LOOKUP(B540,'[1]Roz.'!A:A,'[1]Roz.'!B:B)),(IF(C540&gt;0,(LOOKUP(C540,'[1]par.'!A:A,'[1]par.'!B:B)),0)))))</f>
        <v>Pozostała działalność</v>
      </c>
      <c r="E540" s="192">
        <f>SUM(E542:E546)</f>
        <v>31500</v>
      </c>
      <c r="F540" s="192">
        <f>SUM(F542:F546)</f>
        <v>11100</v>
      </c>
      <c r="G540" s="192">
        <f>SUM(G542:G546)</f>
        <v>8100</v>
      </c>
      <c r="H540" s="192">
        <f t="shared" si="25"/>
        <v>34500</v>
      </c>
      <c r="I540" s="265">
        <f>SUM(I542:I546)</f>
        <v>26237.469999999998</v>
      </c>
      <c r="J540" s="226">
        <f t="shared" si="27"/>
        <v>0.7605063768115942</v>
      </c>
    </row>
    <row r="541" spans="1:10" s="54" customFormat="1" ht="63.75" hidden="1">
      <c r="A541" s="138"/>
      <c r="B541" s="138"/>
      <c r="C541" s="138" t="s">
        <v>257</v>
      </c>
      <c r="D541" s="174" t="str">
        <f>IF(A541&gt;0,(LOOKUP(A541,'[1]Dz.'!A:A,'[1]Dz.'!B:B)),(IF(B541&gt;0,(LOOKUP(B541,'[1]Roz.'!A:A,'[1]Roz.'!B:B)),(IF(C541&gt;0,(LOOKUP(C541,'[1]par.'!A:A,'[1]par.'!B:B)),0)))))</f>
        <v>Dotacja celowa z budżetu na finansowanie lub dofinansowanie zadań zleconych do realizacji pozostałym jednostkom niezaliczanych do sektora finansów publicznych</v>
      </c>
      <c r="E541" s="195">
        <v>0</v>
      </c>
      <c r="F541" s="195"/>
      <c r="G541" s="195"/>
      <c r="H541" s="195">
        <f t="shared" si="25"/>
        <v>0</v>
      </c>
      <c r="I541" s="262"/>
      <c r="J541" s="223" t="e">
        <f t="shared" si="27"/>
        <v>#DIV/0!</v>
      </c>
    </row>
    <row r="542" spans="1:10" s="54" customFormat="1" ht="51">
      <c r="A542" s="138"/>
      <c r="B542" s="138"/>
      <c r="C542" s="149">
        <v>2310</v>
      </c>
      <c r="D542" s="174" t="s">
        <v>284</v>
      </c>
      <c r="E542" s="195"/>
      <c r="F542" s="195">
        <v>3000</v>
      </c>
      <c r="G542" s="195"/>
      <c r="H542" s="195">
        <f t="shared" si="25"/>
        <v>3000</v>
      </c>
      <c r="I542" s="262"/>
      <c r="J542" s="223">
        <f t="shared" si="27"/>
        <v>0</v>
      </c>
    </row>
    <row r="543" spans="1:10" s="54" customFormat="1" ht="63.75">
      <c r="A543" s="138"/>
      <c r="B543" s="138"/>
      <c r="C543" s="167">
        <v>2830</v>
      </c>
      <c r="D543" s="174" t="s">
        <v>279</v>
      </c>
      <c r="E543" s="195"/>
      <c r="F543" s="195">
        <v>7500</v>
      </c>
      <c r="G543" s="195"/>
      <c r="H543" s="195">
        <f t="shared" si="25"/>
        <v>7500</v>
      </c>
      <c r="I543" s="262">
        <v>4500</v>
      </c>
      <c r="J543" s="223">
        <f t="shared" si="27"/>
        <v>0.6</v>
      </c>
    </row>
    <row r="544" spans="1:10" s="54" customFormat="1" ht="12.75">
      <c r="A544" s="138"/>
      <c r="B544" s="138"/>
      <c r="C544" s="158" t="s">
        <v>168</v>
      </c>
      <c r="D544" s="174" t="str">
        <f>IF(A544&gt;0,(LOOKUP(A544,'[1]Dz.'!A:A,'[1]Dz.'!B:B)),(IF(B544&gt;0,(LOOKUP(B544,'[1]Roz.'!A:A,'[1]Roz.'!B:B)),(IF(C544&gt;0,(LOOKUP(C544,'[1]par.'!A:A,'[1]par.'!B:B)),0)))))</f>
        <v>Wynagrodzenia bezosobowe</v>
      </c>
      <c r="E544" s="195"/>
      <c r="F544" s="195">
        <v>300</v>
      </c>
      <c r="G544" s="194"/>
      <c r="H544" s="195">
        <f>E544+F544-G544</f>
        <v>300</v>
      </c>
      <c r="I544" s="273">
        <v>119.78</v>
      </c>
      <c r="J544" s="234">
        <f t="shared" si="27"/>
        <v>0.39926666666666666</v>
      </c>
    </row>
    <row r="545" spans="1:10" s="54" customFormat="1" ht="12.75">
      <c r="A545" s="138"/>
      <c r="B545" s="138"/>
      <c r="C545" s="138" t="s">
        <v>156</v>
      </c>
      <c r="D545" s="174" t="str">
        <f>IF(A545&gt;0,(LOOKUP(A545,'[1]Dz.'!A:A,'[1]Dz.'!B:B)),(IF(B545&gt;0,(LOOKUP(B545,'[1]Roz.'!A:A,'[1]Roz.'!B:B)),(IF(C545&gt;0,(LOOKUP(C545,'[1]par.'!A:A,'[1]par.'!B:B)),0)))))</f>
        <v>Zakup materiałów i wyposażenia</v>
      </c>
      <c r="E545" s="195">
        <v>21500</v>
      </c>
      <c r="F545" s="195">
        <v>300</v>
      </c>
      <c r="G545" s="195">
        <v>300</v>
      </c>
      <c r="H545" s="195">
        <f t="shared" si="25"/>
        <v>21500</v>
      </c>
      <c r="I545" s="262">
        <v>20095.26</v>
      </c>
      <c r="J545" s="223">
        <f t="shared" si="27"/>
        <v>0.9346632558139534</v>
      </c>
    </row>
    <row r="546" spans="1:10" s="54" customFormat="1" ht="12.75">
      <c r="A546" s="147"/>
      <c r="B546" s="147"/>
      <c r="C546" s="147" t="s">
        <v>157</v>
      </c>
      <c r="D546" s="181" t="str">
        <f>IF(A546&gt;0,(LOOKUP(A546,'[1]Dz.'!A:A,'[1]Dz.'!B:B)),(IF(B546&gt;0,(LOOKUP(B546,'[1]Roz.'!A:A,'[1]Roz.'!B:B)),(IF(C546&gt;0,(LOOKUP(C546,'[1]par.'!A:A,'[1]par.'!B:B)),0)))))</f>
        <v>Zakup usług pozostałych</v>
      </c>
      <c r="E546" s="201">
        <v>10000</v>
      </c>
      <c r="F546" s="201"/>
      <c r="G546" s="201">
        <f>300+7500</f>
        <v>7800</v>
      </c>
      <c r="H546" s="201">
        <f t="shared" si="25"/>
        <v>2200</v>
      </c>
      <c r="I546" s="266">
        <v>1522.43</v>
      </c>
      <c r="J546" s="227">
        <f t="shared" si="27"/>
        <v>0.6920136363636364</v>
      </c>
    </row>
    <row r="547" spans="1:10" s="54" customFormat="1" ht="12.75">
      <c r="A547" s="51"/>
      <c r="B547" s="52"/>
      <c r="C547" s="52"/>
      <c r="D547" s="53" t="s">
        <v>258</v>
      </c>
      <c r="E547" s="216">
        <f>E539+E527+E426+E364+E290+E269+E265+E176+E173+E170+E137+E77+E56+E52+E22+E15+E9</f>
        <v>33929712</v>
      </c>
      <c r="F547" s="216">
        <f>F539+F527+F426+F364+F290+F269+F265+F176+F173+F170+F137+F77+F56+F52+F22+F15+F9</f>
        <v>5467226</v>
      </c>
      <c r="G547" s="216">
        <f>G539+G527+G426+G364+G290+G269+G265+G176+G173+G170+G137+G77+G56+G52+G22+G15+G9</f>
        <v>1494360</v>
      </c>
      <c r="H547" s="216">
        <f>H539+H527+H426+H364+H290+H269+H265+H176+H173+H170+H137+H77+H56+H52+H22+H15+H9</f>
        <v>37902578</v>
      </c>
      <c r="I547" s="278">
        <f>I539+I527+I426+I364+I290+I269+I265+I176+I173+I170+I137+I77+I56+I52+I22+I15+I9</f>
        <v>18837383.310000002</v>
      </c>
      <c r="J547" s="239">
        <f t="shared" si="27"/>
        <v>0.4969947772418014</v>
      </c>
    </row>
    <row r="548" spans="1:10" s="54" customFormat="1" ht="12.75">
      <c r="A548" s="132"/>
      <c r="B548" s="132"/>
      <c r="C548" s="132"/>
      <c r="D548" s="133"/>
      <c r="E548" s="186"/>
      <c r="F548" s="186"/>
      <c r="G548" s="186"/>
      <c r="H548" s="186"/>
      <c r="I548" s="258"/>
      <c r="J548" s="219"/>
    </row>
    <row r="549" spans="1:10" s="54" customFormat="1" ht="12.75">
      <c r="A549" s="132"/>
      <c r="B549" s="132"/>
      <c r="C549" s="132"/>
      <c r="D549" s="133"/>
      <c r="E549" s="186"/>
      <c r="F549" s="186"/>
      <c r="G549" s="186"/>
      <c r="H549" s="186"/>
      <c r="I549" s="258"/>
      <c r="J549" s="219"/>
    </row>
    <row r="550" ht="11.25" hidden="1">
      <c r="D550" s="37" t="s">
        <v>259</v>
      </c>
    </row>
    <row r="551" ht="11.25" hidden="1">
      <c r="D551" s="37" t="s">
        <v>260</v>
      </c>
    </row>
    <row r="552" ht="11.25" hidden="1">
      <c r="D552" s="37" t="s">
        <v>261</v>
      </c>
    </row>
    <row r="553" ht="11.25" hidden="1">
      <c r="D553" s="37" t="s">
        <v>262</v>
      </c>
    </row>
    <row r="554" ht="11.25" hidden="1"/>
  </sheetData>
  <mergeCells count="1">
    <mergeCell ref="A6:J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77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2" sqref="G2:G3"/>
    </sheetView>
  </sheetViews>
  <sheetFormatPr defaultColWidth="9.140625" defaultRowHeight="12.75"/>
  <cols>
    <col min="1" max="1" width="3.8515625" style="281" customWidth="1"/>
    <col min="2" max="2" width="46.421875" style="281" customWidth="1"/>
    <col min="3" max="3" width="14.28125" style="281" customWidth="1"/>
    <col min="4" max="8" width="13.421875" style="281" customWidth="1"/>
    <col min="9" max="16384" width="9.140625" style="281" customWidth="1"/>
  </cols>
  <sheetData>
    <row r="1" spans="1:7" ht="12.75" customHeight="1">
      <c r="A1" s="287"/>
      <c r="B1" s="287"/>
      <c r="F1" s="316"/>
      <c r="G1" s="240" t="s">
        <v>336</v>
      </c>
    </row>
    <row r="2" spans="1:8" ht="12.75" customHeight="1">
      <c r="A2" s="287"/>
      <c r="B2" s="287"/>
      <c r="F2" s="286"/>
      <c r="G2" s="240" t="s">
        <v>385</v>
      </c>
      <c r="H2" s="286"/>
    </row>
    <row r="3" spans="1:8" ht="12.75" customHeight="1">
      <c r="A3" s="287"/>
      <c r="B3" s="287"/>
      <c r="F3" s="286"/>
      <c r="G3" s="240" t="s">
        <v>386</v>
      </c>
      <c r="H3" s="286"/>
    </row>
    <row r="4" spans="1:8" ht="12.75" customHeight="1">
      <c r="A4" s="287"/>
      <c r="B4" s="287"/>
      <c r="F4" s="286"/>
      <c r="G4" s="240" t="s">
        <v>285</v>
      </c>
      <c r="H4" s="286"/>
    </row>
    <row r="5" spans="1:4" ht="15.75" customHeight="1">
      <c r="A5" s="383"/>
      <c r="B5" s="383"/>
      <c r="C5" s="383"/>
      <c r="D5" s="383"/>
    </row>
    <row r="6" spans="1:9" ht="15.75">
      <c r="A6" s="390" t="s">
        <v>290</v>
      </c>
      <c r="B6" s="390"/>
      <c r="C6" s="390"/>
      <c r="D6" s="390"/>
      <c r="E6" s="390"/>
      <c r="F6" s="390"/>
      <c r="G6" s="390"/>
      <c r="H6" s="390"/>
      <c r="I6" s="390"/>
    </row>
    <row r="7" spans="1:4" ht="14.25" customHeight="1">
      <c r="A7" s="321"/>
      <c r="B7" s="321"/>
      <c r="C7" s="321"/>
      <c r="D7" s="321"/>
    </row>
    <row r="8" spans="1:9" ht="15.75">
      <c r="A8" s="384" t="s">
        <v>291</v>
      </c>
      <c r="B8" s="384" t="s">
        <v>292</v>
      </c>
      <c r="C8" s="384" t="s">
        <v>293</v>
      </c>
      <c r="D8" s="384" t="s">
        <v>154</v>
      </c>
      <c r="E8" s="384" t="s">
        <v>294</v>
      </c>
      <c r="F8" s="384" t="s">
        <v>95</v>
      </c>
      <c r="G8" s="384" t="s">
        <v>97</v>
      </c>
      <c r="H8" s="388" t="s">
        <v>288</v>
      </c>
      <c r="I8" s="389"/>
    </row>
    <row r="9" spans="1:9" s="282" customFormat="1" ht="16.5" customHeight="1">
      <c r="A9" s="384"/>
      <c r="B9" s="384"/>
      <c r="C9" s="384"/>
      <c r="D9" s="384"/>
      <c r="E9" s="384"/>
      <c r="F9" s="384"/>
      <c r="G9" s="384"/>
      <c r="H9" s="290" t="s">
        <v>335</v>
      </c>
      <c r="I9" s="289" t="s">
        <v>289</v>
      </c>
    </row>
    <row r="10" spans="1:9" s="280" customFormat="1" ht="15.75">
      <c r="A10" s="283">
        <v>1</v>
      </c>
      <c r="B10" s="283">
        <v>2</v>
      </c>
      <c r="C10" s="283">
        <v>3</v>
      </c>
      <c r="D10" s="283">
        <v>4</v>
      </c>
      <c r="E10" s="283">
        <v>5</v>
      </c>
      <c r="F10" s="283">
        <v>6</v>
      </c>
      <c r="G10" s="283">
        <v>7</v>
      </c>
      <c r="H10" s="284">
        <v>8</v>
      </c>
      <c r="I10" s="288">
        <v>9</v>
      </c>
    </row>
    <row r="11" spans="1:9" s="309" customFormat="1" ht="19.5" customHeight="1">
      <c r="A11" s="385" t="s">
        <v>295</v>
      </c>
      <c r="B11" s="386"/>
      <c r="C11" s="308"/>
      <c r="D11" s="307">
        <f>SUM(D12:D19)</f>
        <v>838033</v>
      </c>
      <c r="E11" s="307">
        <f>SUM(E12:E19)</f>
        <v>1177000</v>
      </c>
      <c r="F11" s="307">
        <f>SUM(F12)</f>
        <v>0</v>
      </c>
      <c r="G11" s="307">
        <f>D11+E11-F11</f>
        <v>2015033</v>
      </c>
      <c r="H11" s="307">
        <f>SUM(H12:H19)</f>
        <v>1177000</v>
      </c>
      <c r="I11" s="311">
        <f>H11/G11</f>
        <v>0.584109540637796</v>
      </c>
    </row>
    <row r="12" spans="1:9" ht="19.5" customHeight="1">
      <c r="A12" s="291" t="s">
        <v>296</v>
      </c>
      <c r="B12" s="292" t="s">
        <v>297</v>
      </c>
      <c r="C12" s="291" t="s">
        <v>298</v>
      </c>
      <c r="D12" s="293">
        <v>838033</v>
      </c>
      <c r="E12" s="293">
        <v>160000</v>
      </c>
      <c r="F12" s="293"/>
      <c r="G12" s="294">
        <f aca="true" t="shared" si="0" ref="G12:G27">D12+E12-F12</f>
        <v>998033</v>
      </c>
      <c r="H12" s="293">
        <v>160000</v>
      </c>
      <c r="I12" s="312">
        <f>H12/G12</f>
        <v>0.1603153402743196</v>
      </c>
    </row>
    <row r="13" spans="1:9" ht="19.5" customHeight="1">
      <c r="A13" s="295" t="s">
        <v>299</v>
      </c>
      <c r="B13" s="296" t="s">
        <v>300</v>
      </c>
      <c r="C13" s="295" t="s">
        <v>301</v>
      </c>
      <c r="D13" s="296"/>
      <c r="E13" s="296"/>
      <c r="F13" s="296"/>
      <c r="G13" s="297">
        <f t="shared" si="0"/>
        <v>0</v>
      </c>
      <c r="H13" s="305"/>
      <c r="I13" s="313"/>
    </row>
    <row r="14" spans="1:9" s="285" customFormat="1" ht="46.5" customHeight="1">
      <c r="A14" s="298" t="s">
        <v>302</v>
      </c>
      <c r="B14" s="299" t="s">
        <v>303</v>
      </c>
      <c r="C14" s="298" t="s">
        <v>304</v>
      </c>
      <c r="D14" s="300"/>
      <c r="E14" s="300"/>
      <c r="F14" s="300"/>
      <c r="G14" s="297">
        <f t="shared" si="0"/>
        <v>0</v>
      </c>
      <c r="H14" s="306"/>
      <c r="I14" s="314"/>
    </row>
    <row r="15" spans="1:9" ht="15.75">
      <c r="A15" s="295" t="s">
        <v>305</v>
      </c>
      <c r="B15" s="296" t="s">
        <v>306</v>
      </c>
      <c r="C15" s="295" t="s">
        <v>307</v>
      </c>
      <c r="D15" s="296"/>
      <c r="E15" s="296"/>
      <c r="F15" s="296"/>
      <c r="G15" s="297">
        <f t="shared" si="0"/>
        <v>0</v>
      </c>
      <c r="H15" s="305"/>
      <c r="I15" s="313"/>
    </row>
    <row r="16" spans="1:9" ht="19.5" customHeight="1">
      <c r="A16" s="295" t="s">
        <v>308</v>
      </c>
      <c r="B16" s="296" t="s">
        <v>309</v>
      </c>
      <c r="C16" s="295" t="s">
        <v>310</v>
      </c>
      <c r="D16" s="296"/>
      <c r="E16" s="296"/>
      <c r="F16" s="296"/>
      <c r="G16" s="297">
        <f t="shared" si="0"/>
        <v>0</v>
      </c>
      <c r="H16" s="305"/>
      <c r="I16" s="313"/>
    </row>
    <row r="17" spans="1:9" ht="19.5" customHeight="1">
      <c r="A17" s="295" t="s">
        <v>311</v>
      </c>
      <c r="B17" s="296" t="s">
        <v>312</v>
      </c>
      <c r="C17" s="295" t="s">
        <v>313</v>
      </c>
      <c r="D17" s="296"/>
      <c r="E17" s="296"/>
      <c r="F17" s="296"/>
      <c r="G17" s="297">
        <f t="shared" si="0"/>
        <v>0</v>
      </c>
      <c r="H17" s="305"/>
      <c r="I17" s="313"/>
    </row>
    <row r="18" spans="1:9" ht="15.75">
      <c r="A18" s="295" t="s">
        <v>314</v>
      </c>
      <c r="B18" s="296" t="s">
        <v>315</v>
      </c>
      <c r="C18" s="295" t="s">
        <v>316</v>
      </c>
      <c r="D18" s="296"/>
      <c r="E18" s="296"/>
      <c r="F18" s="296"/>
      <c r="G18" s="297">
        <f t="shared" si="0"/>
        <v>0</v>
      </c>
      <c r="H18" s="305"/>
      <c r="I18" s="313"/>
    </row>
    <row r="19" spans="1:9" ht="15.75">
      <c r="A19" s="301" t="s">
        <v>317</v>
      </c>
      <c r="B19" s="302" t="s">
        <v>318</v>
      </c>
      <c r="C19" s="301" t="s">
        <v>319</v>
      </c>
      <c r="D19" s="302"/>
      <c r="E19" s="303">
        <v>1017000</v>
      </c>
      <c r="F19" s="302"/>
      <c r="G19" s="304">
        <f t="shared" si="0"/>
        <v>1017000</v>
      </c>
      <c r="H19" s="303">
        <v>1017000</v>
      </c>
      <c r="I19" s="315">
        <f>H19/G19</f>
        <v>1</v>
      </c>
    </row>
    <row r="20" spans="1:9" s="309" customFormat="1" ht="15.75">
      <c r="A20" s="387" t="s">
        <v>320</v>
      </c>
      <c r="B20" s="387"/>
      <c r="C20" s="310"/>
      <c r="D20" s="307">
        <f>SUM(D21:D27)</f>
        <v>2221812</v>
      </c>
      <c r="E20" s="307">
        <f>SUM(E21:E27)</f>
        <v>0</v>
      </c>
      <c r="F20" s="307">
        <f>SUM(F21:F27)</f>
        <v>0</v>
      </c>
      <c r="G20" s="307">
        <f t="shared" si="0"/>
        <v>2221812</v>
      </c>
      <c r="H20" s="307">
        <f>SUM(H21:H27)</f>
        <v>431706</v>
      </c>
      <c r="I20" s="311">
        <f>H20/G20</f>
        <v>0.19430356843873378</v>
      </c>
    </row>
    <row r="21" spans="1:9" ht="19.5" customHeight="1">
      <c r="A21" s="317" t="s">
        <v>296</v>
      </c>
      <c r="B21" s="292" t="s">
        <v>321</v>
      </c>
      <c r="C21" s="291" t="s">
        <v>322</v>
      </c>
      <c r="D21" s="293">
        <v>921812</v>
      </c>
      <c r="E21" s="293"/>
      <c r="F21" s="293"/>
      <c r="G21" s="294">
        <f t="shared" si="0"/>
        <v>921812</v>
      </c>
      <c r="H21" s="293">
        <v>431706</v>
      </c>
      <c r="I21" s="312">
        <f>H21/G21</f>
        <v>0.4683232589725454</v>
      </c>
    </row>
    <row r="22" spans="1:9" ht="19.5" customHeight="1">
      <c r="A22" s="318" t="s">
        <v>299</v>
      </c>
      <c r="B22" s="296" t="s">
        <v>323</v>
      </c>
      <c r="C22" s="295" t="s">
        <v>324</v>
      </c>
      <c r="D22" s="305"/>
      <c r="E22" s="305"/>
      <c r="F22" s="305"/>
      <c r="G22" s="297">
        <f t="shared" si="0"/>
        <v>0</v>
      </c>
      <c r="H22" s="305"/>
      <c r="I22" s="313"/>
    </row>
    <row r="23" spans="1:9" s="285" customFormat="1" ht="47.25">
      <c r="A23" s="319" t="s">
        <v>302</v>
      </c>
      <c r="B23" s="299" t="s">
        <v>325</v>
      </c>
      <c r="C23" s="298" t="s">
        <v>326</v>
      </c>
      <c r="D23" s="306"/>
      <c r="E23" s="306"/>
      <c r="F23" s="306"/>
      <c r="G23" s="297">
        <f t="shared" si="0"/>
        <v>0</v>
      </c>
      <c r="H23" s="306"/>
      <c r="I23" s="314"/>
    </row>
    <row r="24" spans="1:9" ht="15.75">
      <c r="A24" s="318" t="s">
        <v>305</v>
      </c>
      <c r="B24" s="296" t="s">
        <v>327</v>
      </c>
      <c r="C24" s="295" t="s">
        <v>328</v>
      </c>
      <c r="D24" s="305"/>
      <c r="E24" s="305"/>
      <c r="F24" s="305"/>
      <c r="G24" s="297">
        <f t="shared" si="0"/>
        <v>0</v>
      </c>
      <c r="H24" s="305"/>
      <c r="I24" s="313"/>
    </row>
    <row r="25" spans="1:9" ht="19.5" customHeight="1">
      <c r="A25" s="318" t="s">
        <v>308</v>
      </c>
      <c r="B25" s="296" t="s">
        <v>329</v>
      </c>
      <c r="C25" s="295" t="s">
        <v>330</v>
      </c>
      <c r="D25" s="305"/>
      <c r="E25" s="305"/>
      <c r="F25" s="305"/>
      <c r="G25" s="297">
        <f t="shared" si="0"/>
        <v>0</v>
      </c>
      <c r="H25" s="305"/>
      <c r="I25" s="313"/>
    </row>
    <row r="26" spans="1:9" ht="19.5" customHeight="1">
      <c r="A26" s="318" t="s">
        <v>311</v>
      </c>
      <c r="B26" s="296" t="s">
        <v>331</v>
      </c>
      <c r="C26" s="295" t="s">
        <v>332</v>
      </c>
      <c r="D26" s="305">
        <v>1300000</v>
      </c>
      <c r="E26" s="305"/>
      <c r="F26" s="305"/>
      <c r="G26" s="297">
        <f t="shared" si="0"/>
        <v>1300000</v>
      </c>
      <c r="H26" s="305"/>
      <c r="I26" s="313">
        <f>H26/G26</f>
        <v>0</v>
      </c>
    </row>
    <row r="27" spans="1:9" ht="15.75">
      <c r="A27" s="320" t="s">
        <v>314</v>
      </c>
      <c r="B27" s="302" t="s">
        <v>333</v>
      </c>
      <c r="C27" s="301" t="s">
        <v>334</v>
      </c>
      <c r="D27" s="303"/>
      <c r="E27" s="303"/>
      <c r="F27" s="303"/>
      <c r="G27" s="304">
        <f t="shared" si="0"/>
        <v>0</v>
      </c>
      <c r="H27" s="303"/>
      <c r="I27" s="315"/>
    </row>
  </sheetData>
  <mergeCells count="12">
    <mergeCell ref="A11:B11"/>
    <mergeCell ref="A20:B20"/>
    <mergeCell ref="H8:I8"/>
    <mergeCell ref="A6:I6"/>
    <mergeCell ref="E8:E9"/>
    <mergeCell ref="F8:F9"/>
    <mergeCell ref="G8:G9"/>
    <mergeCell ref="A5:D5"/>
    <mergeCell ref="A8:A9"/>
    <mergeCell ref="B8:B9"/>
    <mergeCell ref="C8:C9"/>
    <mergeCell ref="D8:D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2">
      <selection activeCell="J12" sqref="J12"/>
    </sheetView>
  </sheetViews>
  <sheetFormatPr defaultColWidth="9.140625" defaultRowHeight="12.75"/>
  <cols>
    <col min="1" max="1" width="4.28125" style="281" customWidth="1"/>
    <col min="2" max="2" width="37.7109375" style="281" customWidth="1"/>
    <col min="3" max="4" width="11.00390625" style="328" customWidth="1"/>
    <col min="5" max="5" width="13.421875" style="328" customWidth="1"/>
    <col min="6" max="6" width="7.421875" style="328" customWidth="1"/>
    <col min="7" max="9" width="11.00390625" style="328" customWidth="1"/>
    <col min="10" max="10" width="13.28125" style="328" customWidth="1"/>
    <col min="11" max="11" width="7.421875" style="328" customWidth="1"/>
    <col min="12" max="12" width="11.00390625" style="328" customWidth="1"/>
    <col min="13" max="16384" width="9.140625" style="281" customWidth="1"/>
  </cols>
  <sheetData>
    <row r="1" spans="1:12" ht="30" customHeight="1" hidden="1">
      <c r="A1" s="392" t="s">
        <v>350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9:11" ht="15.75">
      <c r="I2" s="240"/>
      <c r="J2" s="240" t="s">
        <v>351</v>
      </c>
      <c r="K2" s="240"/>
    </row>
    <row r="3" spans="9:11" ht="15.75">
      <c r="I3" s="240"/>
      <c r="J3" s="240" t="s">
        <v>385</v>
      </c>
      <c r="K3" s="240"/>
    </row>
    <row r="4" spans="9:11" ht="15.75">
      <c r="I4" s="240"/>
      <c r="J4" s="240" t="s">
        <v>386</v>
      </c>
      <c r="K4" s="240"/>
    </row>
    <row r="5" spans="9:11" ht="15.75">
      <c r="I5" s="240"/>
      <c r="J5" s="240" t="s">
        <v>285</v>
      </c>
      <c r="K5" s="240"/>
    </row>
    <row r="6" spans="9:11" ht="15.75">
      <c r="I6" s="240"/>
      <c r="J6" s="240"/>
      <c r="K6" s="240"/>
    </row>
    <row r="7" spans="1:12" ht="18">
      <c r="A7" s="396" t="s">
        <v>354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</row>
    <row r="8" spans="3:12" ht="12.75">
      <c r="C8" s="329"/>
      <c r="D8" s="329"/>
      <c r="E8" s="329"/>
      <c r="F8" s="329"/>
      <c r="G8" s="329"/>
      <c r="H8" s="329"/>
      <c r="I8" s="329"/>
      <c r="J8" s="329"/>
      <c r="K8" s="329"/>
      <c r="L8" s="329"/>
    </row>
    <row r="9" spans="1:12" s="22" customFormat="1" ht="15.75">
      <c r="A9" s="397" t="s">
        <v>291</v>
      </c>
      <c r="B9" s="397" t="s">
        <v>338</v>
      </c>
      <c r="C9" s="398" t="s">
        <v>352</v>
      </c>
      <c r="D9" s="398"/>
      <c r="E9" s="398"/>
      <c r="F9" s="398"/>
      <c r="G9" s="398"/>
      <c r="H9" s="398" t="s">
        <v>339</v>
      </c>
      <c r="I9" s="398"/>
      <c r="J9" s="398"/>
      <c r="K9" s="398"/>
      <c r="L9" s="398"/>
    </row>
    <row r="10" spans="1:12" s="22" customFormat="1" ht="15.75">
      <c r="A10" s="397"/>
      <c r="B10" s="397"/>
      <c r="C10" s="393" t="s">
        <v>154</v>
      </c>
      <c r="D10" s="394"/>
      <c r="E10" s="393" t="s">
        <v>288</v>
      </c>
      <c r="F10" s="395"/>
      <c r="G10" s="394"/>
      <c r="H10" s="393" t="s">
        <v>154</v>
      </c>
      <c r="I10" s="394"/>
      <c r="J10" s="393" t="s">
        <v>353</v>
      </c>
      <c r="K10" s="395"/>
      <c r="L10" s="394"/>
    </row>
    <row r="11" spans="1:12" s="22" customFormat="1" ht="47.25">
      <c r="A11" s="397"/>
      <c r="B11" s="397"/>
      <c r="C11" s="334" t="s">
        <v>340</v>
      </c>
      <c r="D11" s="334" t="s">
        <v>341</v>
      </c>
      <c r="E11" s="334" t="s">
        <v>335</v>
      </c>
      <c r="F11" s="334" t="s">
        <v>289</v>
      </c>
      <c r="G11" s="334" t="s">
        <v>341</v>
      </c>
      <c r="H11" s="334" t="s">
        <v>340</v>
      </c>
      <c r="I11" s="334" t="s">
        <v>342</v>
      </c>
      <c r="J11" s="334" t="s">
        <v>335</v>
      </c>
      <c r="K11" s="334" t="s">
        <v>289</v>
      </c>
      <c r="L11" s="334" t="s">
        <v>342</v>
      </c>
    </row>
    <row r="12" spans="1:12" ht="15.75">
      <c r="A12" s="323" t="s">
        <v>296</v>
      </c>
      <c r="B12" s="324" t="s">
        <v>344</v>
      </c>
      <c r="C12" s="325">
        <v>183500</v>
      </c>
      <c r="D12" s="325"/>
      <c r="E12" s="332">
        <v>78665.93</v>
      </c>
      <c r="F12" s="331">
        <f aca="true" t="shared" si="0" ref="F12:F17">E12/C12</f>
        <v>0.428697166212534</v>
      </c>
      <c r="G12" s="325"/>
      <c r="H12" s="325">
        <v>183500</v>
      </c>
      <c r="I12" s="325"/>
      <c r="J12" s="332">
        <v>86833.59</v>
      </c>
      <c r="K12" s="331">
        <f aca="true" t="shared" si="1" ref="K12:K17">J12/H12</f>
        <v>0.4732075749318801</v>
      </c>
      <c r="L12" s="325"/>
    </row>
    <row r="13" spans="1:12" ht="47.25">
      <c r="A13" s="323" t="s">
        <v>299</v>
      </c>
      <c r="B13" s="327" t="s">
        <v>345</v>
      </c>
      <c r="C13" s="325">
        <v>1610000</v>
      </c>
      <c r="D13" s="325"/>
      <c r="E13" s="332">
        <v>951399.68</v>
      </c>
      <c r="F13" s="331">
        <f t="shared" si="0"/>
        <v>0.5909314782608696</v>
      </c>
      <c r="G13" s="325"/>
      <c r="H13" s="325">
        <v>1610000</v>
      </c>
      <c r="I13" s="325"/>
      <c r="J13" s="332">
        <v>912114.94</v>
      </c>
      <c r="K13" s="331">
        <f t="shared" si="1"/>
        <v>0.5665310186335404</v>
      </c>
      <c r="L13" s="325"/>
    </row>
    <row r="14" spans="1:12" ht="31.5">
      <c r="A14" s="323" t="s">
        <v>302</v>
      </c>
      <c r="B14" s="326" t="s">
        <v>346</v>
      </c>
      <c r="C14" s="322">
        <v>38184</v>
      </c>
      <c r="D14" s="322"/>
      <c r="E14" s="333">
        <v>33354.16</v>
      </c>
      <c r="F14" s="331">
        <f t="shared" si="0"/>
        <v>0.8735114183951395</v>
      </c>
      <c r="G14" s="322"/>
      <c r="H14" s="325">
        <v>38184</v>
      </c>
      <c r="I14" s="325"/>
      <c r="J14" s="332">
        <v>19901.26</v>
      </c>
      <c r="K14" s="331">
        <f t="shared" si="1"/>
        <v>0.5211936936936936</v>
      </c>
      <c r="L14" s="325"/>
    </row>
    <row r="15" spans="1:12" ht="15.75">
      <c r="A15" s="323" t="s">
        <v>305</v>
      </c>
      <c r="B15" s="324" t="s">
        <v>347</v>
      </c>
      <c r="C15" s="325">
        <f>283900+31610</f>
        <v>315510</v>
      </c>
      <c r="D15" s="325"/>
      <c r="E15" s="332">
        <v>185791.22</v>
      </c>
      <c r="F15" s="331">
        <f t="shared" si="0"/>
        <v>0.5888600044372603</v>
      </c>
      <c r="G15" s="325"/>
      <c r="H15" s="325">
        <f>283900+31610</f>
        <v>315510</v>
      </c>
      <c r="I15" s="325"/>
      <c r="J15" s="332">
        <v>164649.38</v>
      </c>
      <c r="K15" s="331">
        <f t="shared" si="1"/>
        <v>0.5218515419479572</v>
      </c>
      <c r="L15" s="325"/>
    </row>
    <row r="16" spans="1:12" ht="63">
      <c r="A16" s="323" t="s">
        <v>308</v>
      </c>
      <c r="B16" s="326" t="s">
        <v>348</v>
      </c>
      <c r="C16" s="325">
        <v>3200</v>
      </c>
      <c r="D16" s="325"/>
      <c r="E16" s="332">
        <v>453.33</v>
      </c>
      <c r="F16" s="331">
        <f t="shared" si="0"/>
        <v>0.141665625</v>
      </c>
      <c r="G16" s="325"/>
      <c r="H16" s="325">
        <v>3200</v>
      </c>
      <c r="I16" s="325"/>
      <c r="J16" s="332">
        <v>124.7</v>
      </c>
      <c r="K16" s="331">
        <f t="shared" si="1"/>
        <v>0.03896875</v>
      </c>
      <c r="L16" s="325"/>
    </row>
    <row r="17" spans="1:12" ht="15.75">
      <c r="A17" s="391" t="s">
        <v>349</v>
      </c>
      <c r="B17" s="391"/>
      <c r="C17" s="330">
        <f>SUM(C12:C16)</f>
        <v>2150394</v>
      </c>
      <c r="D17" s="330">
        <f>SUM(D12:D16)</f>
        <v>0</v>
      </c>
      <c r="E17" s="374">
        <f>SUM(E12:E16)</f>
        <v>1249664.32</v>
      </c>
      <c r="F17" s="335">
        <f t="shared" si="0"/>
        <v>0.5811327226545461</v>
      </c>
      <c r="G17" s="330">
        <f>SUM(G12:G16)</f>
        <v>0</v>
      </c>
      <c r="H17" s="330">
        <f>SUM(H12:H16)</f>
        <v>2150394</v>
      </c>
      <c r="I17" s="330">
        <f>SUM(I12:I16)</f>
        <v>0</v>
      </c>
      <c r="J17" s="374">
        <f>SUM(J12:J16)</f>
        <v>1183623.8699999999</v>
      </c>
      <c r="K17" s="335">
        <f t="shared" si="1"/>
        <v>0.5504218622261781</v>
      </c>
      <c r="L17" s="330">
        <f>SUM(L12:L16)</f>
        <v>0</v>
      </c>
    </row>
  </sheetData>
  <mergeCells count="11">
    <mergeCell ref="H9:L9"/>
    <mergeCell ref="A17:B17"/>
    <mergeCell ref="A1:L1"/>
    <mergeCell ref="C10:D10"/>
    <mergeCell ref="E10:G10"/>
    <mergeCell ref="H10:I10"/>
    <mergeCell ref="J10:L10"/>
    <mergeCell ref="A7:L7"/>
    <mergeCell ref="A9:A11"/>
    <mergeCell ref="B9:B11"/>
    <mergeCell ref="C9:G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8">
      <selection activeCell="B42" sqref="B42"/>
    </sheetView>
  </sheetViews>
  <sheetFormatPr defaultColWidth="9.140625" defaultRowHeight="12.75"/>
  <cols>
    <col min="1" max="1" width="3.8515625" style="0" customWidth="1"/>
    <col min="2" max="2" width="50.8515625" style="0" customWidth="1"/>
    <col min="7" max="7" width="12.140625" style="241" customWidth="1"/>
    <col min="8" max="8" width="9.140625" style="365" customWidth="1"/>
  </cols>
  <sheetData>
    <row r="1" spans="2:6" ht="15.75">
      <c r="B1" s="336"/>
      <c r="E1" s="240"/>
      <c r="F1" s="240" t="s">
        <v>373</v>
      </c>
    </row>
    <row r="2" spans="2:6" ht="15.75">
      <c r="B2" s="336"/>
      <c r="E2" s="240"/>
      <c r="F2" s="240" t="s">
        <v>385</v>
      </c>
    </row>
    <row r="3" spans="2:6" ht="15.75">
      <c r="B3" s="336"/>
      <c r="E3" s="240"/>
      <c r="F3" s="240" t="s">
        <v>386</v>
      </c>
    </row>
    <row r="4" spans="2:6" ht="15.75">
      <c r="B4" s="336"/>
      <c r="E4" s="240"/>
      <c r="F4" s="240" t="s">
        <v>285</v>
      </c>
    </row>
    <row r="6" spans="1:8" ht="45.75" customHeight="1">
      <c r="A6" s="377" t="s">
        <v>384</v>
      </c>
      <c r="B6" s="377"/>
      <c r="C6" s="377"/>
      <c r="D6" s="377"/>
      <c r="E6" s="377"/>
      <c r="F6" s="377"/>
      <c r="G6" s="377"/>
      <c r="H6" s="377"/>
    </row>
    <row r="7" spans="1:8" s="367" customFormat="1" ht="28.5" customHeight="1">
      <c r="A7" s="368" t="s">
        <v>291</v>
      </c>
      <c r="B7" s="368" t="s">
        <v>153</v>
      </c>
      <c r="C7" s="371" t="s">
        <v>355</v>
      </c>
      <c r="D7" s="371" t="s">
        <v>356</v>
      </c>
      <c r="E7" s="371" t="s">
        <v>357</v>
      </c>
      <c r="F7" s="371" t="s">
        <v>358</v>
      </c>
      <c r="G7" s="372" t="s">
        <v>374</v>
      </c>
      <c r="H7" s="373" t="s">
        <v>358</v>
      </c>
    </row>
    <row r="8" spans="1:8" s="337" customFormat="1" ht="28.5" customHeight="1">
      <c r="A8" s="378" t="s">
        <v>383</v>
      </c>
      <c r="B8" s="402"/>
      <c r="C8" s="402"/>
      <c r="D8" s="402"/>
      <c r="E8" s="402"/>
      <c r="F8" s="402"/>
      <c r="G8" s="402"/>
      <c r="H8" s="403"/>
    </row>
    <row r="9" spans="1:8" s="341" customFormat="1" ht="17.25" customHeight="1">
      <c r="A9" s="338" t="s">
        <v>343</v>
      </c>
      <c r="B9" s="339" t="s">
        <v>359</v>
      </c>
      <c r="C9" s="340">
        <v>53314</v>
      </c>
      <c r="D9" s="340"/>
      <c r="E9" s="340"/>
      <c r="F9" s="340">
        <f aca="true" t="shared" si="0" ref="F9:F21">C9+D9-E9</f>
        <v>53314</v>
      </c>
      <c r="G9" s="361">
        <v>53314.26</v>
      </c>
      <c r="H9" s="357">
        <f>G9/F9</f>
        <v>1.0000048767678285</v>
      </c>
    </row>
    <row r="10" spans="1:8" s="341" customFormat="1" ht="17.25" customHeight="1">
      <c r="A10" s="342" t="s">
        <v>360</v>
      </c>
      <c r="B10" s="343" t="s">
        <v>352</v>
      </c>
      <c r="C10" s="344">
        <v>199000</v>
      </c>
      <c r="D10" s="344">
        <f>SUM(D11:D13)</f>
        <v>0</v>
      </c>
      <c r="E10" s="344">
        <f>SUM(E11:E13)</f>
        <v>0</v>
      </c>
      <c r="F10" s="340">
        <f t="shared" si="0"/>
        <v>199000</v>
      </c>
      <c r="G10" s="361">
        <f>SUM(G11:G13)</f>
        <v>111825.84</v>
      </c>
      <c r="H10" s="357">
        <f aca="true" t="shared" si="1" ref="H10:H21">G10/F10</f>
        <v>0.5619388944723618</v>
      </c>
    </row>
    <row r="11" spans="1:8" ht="17.25" customHeight="1">
      <c r="A11" s="345">
        <v>1</v>
      </c>
      <c r="B11" s="346" t="s">
        <v>361</v>
      </c>
      <c r="C11" s="347">
        <v>170000</v>
      </c>
      <c r="D11" s="347"/>
      <c r="E11" s="347"/>
      <c r="F11" s="348">
        <f t="shared" si="0"/>
        <v>170000</v>
      </c>
      <c r="G11" s="362">
        <v>97582.09</v>
      </c>
      <c r="H11" s="358">
        <f t="shared" si="1"/>
        <v>0.5740122941176471</v>
      </c>
    </row>
    <row r="12" spans="1:8" ht="17.25" customHeight="1">
      <c r="A12" s="345">
        <v>2</v>
      </c>
      <c r="B12" s="346" t="s">
        <v>387</v>
      </c>
      <c r="C12" s="347"/>
      <c r="D12" s="347"/>
      <c r="E12" s="347"/>
      <c r="F12" s="348"/>
      <c r="G12" s="362">
        <v>1987.09</v>
      </c>
      <c r="H12" s="358"/>
    </row>
    <row r="13" spans="1:8" ht="17.25" customHeight="1">
      <c r="A13" s="345">
        <v>3</v>
      </c>
      <c r="B13" s="346" t="s">
        <v>362</v>
      </c>
      <c r="C13" s="347">
        <v>29000</v>
      </c>
      <c r="D13" s="347"/>
      <c r="E13" s="347"/>
      <c r="F13" s="348">
        <f t="shared" si="0"/>
        <v>29000</v>
      </c>
      <c r="G13" s="362">
        <v>12256.66</v>
      </c>
      <c r="H13" s="358">
        <f t="shared" si="1"/>
        <v>0.4226434482758621</v>
      </c>
    </row>
    <row r="14" spans="1:8" s="341" customFormat="1" ht="17.25" customHeight="1">
      <c r="A14" s="342" t="s">
        <v>363</v>
      </c>
      <c r="B14" s="343" t="s">
        <v>339</v>
      </c>
      <c r="C14" s="344">
        <v>250200</v>
      </c>
      <c r="D14" s="344">
        <f>D15+D20</f>
        <v>12700</v>
      </c>
      <c r="E14" s="344">
        <f>E15+E20</f>
        <v>12700</v>
      </c>
      <c r="F14" s="340">
        <f t="shared" si="0"/>
        <v>250200</v>
      </c>
      <c r="G14" s="361">
        <f>G15+G20</f>
        <v>45371.14</v>
      </c>
      <c r="H14" s="357">
        <f t="shared" si="1"/>
        <v>0.18133948840927258</v>
      </c>
    </row>
    <row r="15" spans="1:8" ht="17.25" customHeight="1">
      <c r="A15" s="345">
        <v>1</v>
      </c>
      <c r="B15" s="349" t="s">
        <v>364</v>
      </c>
      <c r="C15" s="347">
        <v>240200</v>
      </c>
      <c r="D15" s="347">
        <f>SUM(D16:D19)</f>
        <v>12700</v>
      </c>
      <c r="E15" s="347">
        <f>SUM(E16:E19)</f>
        <v>12700</v>
      </c>
      <c r="F15" s="348">
        <f t="shared" si="0"/>
        <v>240200</v>
      </c>
      <c r="G15" s="362">
        <f>SUM(G16:G19)</f>
        <v>35372.13</v>
      </c>
      <c r="H15" s="358">
        <f t="shared" si="1"/>
        <v>0.14726115736885928</v>
      </c>
    </row>
    <row r="16" spans="1:8" s="354" customFormat="1" ht="42.75" customHeight="1">
      <c r="A16" s="350"/>
      <c r="B16" s="351" t="s">
        <v>365</v>
      </c>
      <c r="C16" s="352">
        <v>6800</v>
      </c>
      <c r="D16" s="352">
        <v>3000</v>
      </c>
      <c r="E16" s="352">
        <v>5800</v>
      </c>
      <c r="F16" s="353">
        <f t="shared" si="0"/>
        <v>4000</v>
      </c>
      <c r="G16" s="363"/>
      <c r="H16" s="359">
        <f t="shared" si="1"/>
        <v>0</v>
      </c>
    </row>
    <row r="17" spans="1:8" s="354" customFormat="1" ht="39" customHeight="1">
      <c r="A17" s="350"/>
      <c r="B17" s="351" t="s">
        <v>366</v>
      </c>
      <c r="C17" s="352">
        <v>49000</v>
      </c>
      <c r="D17" s="352"/>
      <c r="E17" s="352"/>
      <c r="F17" s="353">
        <f t="shared" si="0"/>
        <v>49000</v>
      </c>
      <c r="G17" s="363">
        <v>5000</v>
      </c>
      <c r="H17" s="359">
        <f t="shared" si="1"/>
        <v>0.10204081632653061</v>
      </c>
    </row>
    <row r="18" spans="1:8" s="354" customFormat="1" ht="17.25" customHeight="1">
      <c r="A18" s="350"/>
      <c r="B18" s="351" t="s">
        <v>367</v>
      </c>
      <c r="C18" s="355">
        <v>61200</v>
      </c>
      <c r="D18" s="355">
        <v>9700</v>
      </c>
      <c r="E18" s="355">
        <v>6900</v>
      </c>
      <c r="F18" s="353">
        <f t="shared" si="0"/>
        <v>64000</v>
      </c>
      <c r="G18" s="363">
        <v>27236.61</v>
      </c>
      <c r="H18" s="359">
        <f t="shared" si="1"/>
        <v>0.42557203125</v>
      </c>
    </row>
    <row r="19" spans="1:8" s="354" customFormat="1" ht="42" customHeight="1">
      <c r="A19" s="350"/>
      <c r="B19" s="351" t="s">
        <v>368</v>
      </c>
      <c r="C19" s="355">
        <v>123200</v>
      </c>
      <c r="D19" s="355"/>
      <c r="E19" s="355"/>
      <c r="F19" s="353">
        <f t="shared" si="0"/>
        <v>123200</v>
      </c>
      <c r="G19" s="363">
        <v>3135.52</v>
      </c>
      <c r="H19" s="359">
        <f t="shared" si="1"/>
        <v>0.025450649350649352</v>
      </c>
    </row>
    <row r="20" spans="1:8" ht="17.25" customHeight="1">
      <c r="A20" s="345">
        <v>2</v>
      </c>
      <c r="B20" s="349" t="s">
        <v>369</v>
      </c>
      <c r="C20" s="356">
        <v>10000</v>
      </c>
      <c r="D20" s="356">
        <f>SUM(D21)</f>
        <v>0</v>
      </c>
      <c r="E20" s="356">
        <f>SUM(E21)</f>
        <v>0</v>
      </c>
      <c r="F20" s="348">
        <f t="shared" si="0"/>
        <v>10000</v>
      </c>
      <c r="G20" s="362">
        <f>G21</f>
        <v>9999.01</v>
      </c>
      <c r="H20" s="358">
        <f t="shared" si="1"/>
        <v>0.999901</v>
      </c>
    </row>
    <row r="21" spans="1:8" s="354" customFormat="1" ht="17.25" customHeight="1">
      <c r="A21" s="350"/>
      <c r="B21" s="351" t="s">
        <v>370</v>
      </c>
      <c r="C21" s="355">
        <v>10000</v>
      </c>
      <c r="D21" s="355"/>
      <c r="E21" s="355"/>
      <c r="F21" s="353">
        <f t="shared" si="0"/>
        <v>10000</v>
      </c>
      <c r="G21" s="363">
        <v>9999.01</v>
      </c>
      <c r="H21" s="359">
        <f t="shared" si="1"/>
        <v>0.999901</v>
      </c>
    </row>
    <row r="22" spans="1:8" s="341" customFormat="1" ht="17.25" customHeight="1">
      <c r="A22" s="342" t="s">
        <v>371</v>
      </c>
      <c r="B22" s="343" t="s">
        <v>372</v>
      </c>
      <c r="C22" s="344">
        <v>2114</v>
      </c>
      <c r="D22" s="344"/>
      <c r="E22" s="344"/>
      <c r="F22" s="344">
        <f>F9+F10-F14</f>
        <v>2114</v>
      </c>
      <c r="G22" s="364"/>
      <c r="H22" s="360"/>
    </row>
    <row r="23" spans="1:8" ht="30.75" customHeight="1">
      <c r="A23" s="399" t="s">
        <v>382</v>
      </c>
      <c r="B23" s="400"/>
      <c r="C23" s="400"/>
      <c r="D23" s="400"/>
      <c r="E23" s="400"/>
      <c r="F23" s="400"/>
      <c r="G23" s="400"/>
      <c r="H23" s="401"/>
    </row>
    <row r="24" spans="1:8" s="341" customFormat="1" ht="17.25" customHeight="1">
      <c r="A24" s="338" t="s">
        <v>343</v>
      </c>
      <c r="B24" s="339" t="s">
        <v>359</v>
      </c>
      <c r="C24" s="340">
        <v>50000</v>
      </c>
      <c r="D24" s="340">
        <v>265910</v>
      </c>
      <c r="E24" s="340"/>
      <c r="F24" s="340">
        <f>C24+D24-E24</f>
        <v>315910</v>
      </c>
      <c r="G24" s="361">
        <v>315910</v>
      </c>
      <c r="H24" s="357">
        <f>G24/F24</f>
        <v>1</v>
      </c>
    </row>
    <row r="25" spans="1:8" s="341" customFormat="1" ht="17.25" customHeight="1">
      <c r="A25" s="342" t="s">
        <v>360</v>
      </c>
      <c r="B25" s="343" t="s">
        <v>352</v>
      </c>
      <c r="C25" s="344">
        <f>SUM(C26:C28)</f>
        <v>300000</v>
      </c>
      <c r="D25" s="344"/>
      <c r="E25" s="344"/>
      <c r="F25" s="340">
        <f aca="true" t="shared" si="2" ref="F25:F39">C25+D25-E25</f>
        <v>300000</v>
      </c>
      <c r="G25" s="364">
        <f>SUM(G26:G28)</f>
        <v>195780.09</v>
      </c>
      <c r="H25" s="357">
        <f aca="true" t="shared" si="3" ref="H25:H39">G25/F25</f>
        <v>0.6526003</v>
      </c>
    </row>
    <row r="26" spans="1:8" ht="17.25" customHeight="1">
      <c r="A26" s="345">
        <v>1</v>
      </c>
      <c r="B26" s="346" t="s">
        <v>376</v>
      </c>
      <c r="C26" s="347">
        <v>290000</v>
      </c>
      <c r="D26" s="347"/>
      <c r="E26" s="347"/>
      <c r="F26" s="348">
        <f t="shared" si="2"/>
        <v>290000</v>
      </c>
      <c r="G26" s="369">
        <v>188683.71</v>
      </c>
      <c r="H26" s="366">
        <f t="shared" si="3"/>
        <v>0.6506334827586207</v>
      </c>
    </row>
    <row r="27" spans="1:8" ht="17.25" customHeight="1">
      <c r="A27" s="345">
        <v>2</v>
      </c>
      <c r="B27" s="346" t="s">
        <v>375</v>
      </c>
      <c r="C27" s="347">
        <v>10000</v>
      </c>
      <c r="D27" s="347"/>
      <c r="E27" s="347"/>
      <c r="F27" s="348">
        <f>C27+D27-E27</f>
        <v>10000</v>
      </c>
      <c r="G27" s="369">
        <v>5235.75</v>
      </c>
      <c r="H27" s="366">
        <f>G27/F27</f>
        <v>0.523575</v>
      </c>
    </row>
    <row r="28" spans="1:8" ht="17.25" customHeight="1">
      <c r="A28" s="345">
        <v>3</v>
      </c>
      <c r="B28" s="346" t="s">
        <v>388</v>
      </c>
      <c r="C28" s="347"/>
      <c r="D28" s="347"/>
      <c r="E28" s="347"/>
      <c r="F28" s="348">
        <f t="shared" si="2"/>
        <v>0</v>
      </c>
      <c r="G28" s="369">
        <v>1860.63</v>
      </c>
      <c r="H28" s="366"/>
    </row>
    <row r="29" spans="1:8" s="341" customFormat="1" ht="17.25" customHeight="1">
      <c r="A29" s="342" t="s">
        <v>363</v>
      </c>
      <c r="B29" s="343" t="s">
        <v>339</v>
      </c>
      <c r="C29" s="344">
        <f>C30+C37</f>
        <v>350000</v>
      </c>
      <c r="D29" s="344">
        <f>D30+D37</f>
        <v>200000</v>
      </c>
      <c r="E29" s="344"/>
      <c r="F29" s="340">
        <f>F30+F37</f>
        <v>550000</v>
      </c>
      <c r="G29" s="364">
        <f>G30+G37</f>
        <v>207018.80000000002</v>
      </c>
      <c r="H29" s="357">
        <f t="shared" si="3"/>
        <v>0.3763978181818182</v>
      </c>
    </row>
    <row r="30" spans="1:8" ht="17.25" customHeight="1">
      <c r="A30" s="345">
        <v>1</v>
      </c>
      <c r="B30" s="349" t="s">
        <v>364</v>
      </c>
      <c r="C30" s="347">
        <f>SUM(C31:C36)</f>
        <v>325000</v>
      </c>
      <c r="D30" s="347">
        <f>SUM(D31:D36)</f>
        <v>160000</v>
      </c>
      <c r="E30" s="347"/>
      <c r="F30" s="348">
        <f t="shared" si="2"/>
        <v>485000</v>
      </c>
      <c r="G30" s="369">
        <f>SUM(G31:G36)</f>
        <v>173444.32</v>
      </c>
      <c r="H30" s="366">
        <f t="shared" si="3"/>
        <v>0.35761715463917526</v>
      </c>
    </row>
    <row r="31" spans="1:8" s="354" customFormat="1" ht="17.25" customHeight="1">
      <c r="A31" s="350"/>
      <c r="B31" s="351" t="s">
        <v>377</v>
      </c>
      <c r="C31" s="352">
        <v>25000</v>
      </c>
      <c r="D31" s="352"/>
      <c r="E31" s="352"/>
      <c r="F31" s="353">
        <f t="shared" si="2"/>
        <v>25000</v>
      </c>
      <c r="G31" s="370">
        <v>17647.38</v>
      </c>
      <c r="H31" s="366">
        <f t="shared" si="3"/>
        <v>0.7058952000000001</v>
      </c>
    </row>
    <row r="32" spans="1:8" s="354" customFormat="1" ht="17.25" customHeight="1">
      <c r="A32" s="350"/>
      <c r="B32" s="351" t="s">
        <v>378</v>
      </c>
      <c r="C32" s="352">
        <v>80000</v>
      </c>
      <c r="D32" s="352">
        <v>50000</v>
      </c>
      <c r="E32" s="352"/>
      <c r="F32" s="353">
        <f t="shared" si="2"/>
        <v>130000</v>
      </c>
      <c r="G32" s="370">
        <v>90073.7</v>
      </c>
      <c r="H32" s="366">
        <f t="shared" si="3"/>
        <v>0.6928746153846154</v>
      </c>
    </row>
    <row r="33" spans="1:8" s="354" customFormat="1" ht="17.25" customHeight="1">
      <c r="A33" s="350"/>
      <c r="B33" s="351" t="s">
        <v>367</v>
      </c>
      <c r="C33" s="355">
        <v>160000</v>
      </c>
      <c r="D33" s="355">
        <v>80000</v>
      </c>
      <c r="E33" s="355"/>
      <c r="F33" s="353">
        <f t="shared" si="2"/>
        <v>240000</v>
      </c>
      <c r="G33" s="375">
        <v>21244.4</v>
      </c>
      <c r="H33" s="366">
        <f t="shared" si="3"/>
        <v>0.08851833333333334</v>
      </c>
    </row>
    <row r="34" spans="1:8" s="354" customFormat="1" ht="17.25" customHeight="1">
      <c r="A34" s="350"/>
      <c r="B34" s="351" t="s">
        <v>379</v>
      </c>
      <c r="C34" s="355"/>
      <c r="D34" s="355">
        <v>15000</v>
      </c>
      <c r="E34" s="355"/>
      <c r="F34" s="353">
        <f t="shared" si="2"/>
        <v>15000</v>
      </c>
      <c r="G34" s="375">
        <v>2499.84</v>
      </c>
      <c r="H34" s="366">
        <f t="shared" si="3"/>
        <v>0.166656</v>
      </c>
    </row>
    <row r="35" spans="1:8" s="354" customFormat="1" ht="17.25" customHeight="1">
      <c r="A35" s="350"/>
      <c r="B35" s="351" t="s">
        <v>380</v>
      </c>
      <c r="C35" s="355"/>
      <c r="D35" s="355">
        <v>15000</v>
      </c>
      <c r="E35" s="355"/>
      <c r="F35" s="353">
        <f t="shared" si="2"/>
        <v>15000</v>
      </c>
      <c r="G35" s="375">
        <v>3195</v>
      </c>
      <c r="H35" s="366">
        <f t="shared" si="3"/>
        <v>0.213</v>
      </c>
    </row>
    <row r="36" spans="1:8" s="354" customFormat="1" ht="17.25" customHeight="1">
      <c r="A36" s="350"/>
      <c r="B36" s="351" t="s">
        <v>381</v>
      </c>
      <c r="C36" s="355">
        <v>60000</v>
      </c>
      <c r="D36" s="355"/>
      <c r="E36" s="355"/>
      <c r="F36" s="353">
        <f t="shared" si="2"/>
        <v>60000</v>
      </c>
      <c r="G36" s="375">
        <v>38784</v>
      </c>
      <c r="H36" s="366">
        <f t="shared" si="3"/>
        <v>0.6464</v>
      </c>
    </row>
    <row r="37" spans="1:8" ht="17.25" customHeight="1">
      <c r="A37" s="345">
        <v>2</v>
      </c>
      <c r="B37" s="349" t="s">
        <v>369</v>
      </c>
      <c r="C37" s="356">
        <f>SUM(C38)</f>
        <v>25000</v>
      </c>
      <c r="D37" s="356">
        <f>SUM(D38)</f>
        <v>40000</v>
      </c>
      <c r="E37" s="356"/>
      <c r="F37" s="348">
        <f t="shared" si="2"/>
        <v>65000</v>
      </c>
      <c r="G37" s="376">
        <f>G38</f>
        <v>33574.48</v>
      </c>
      <c r="H37" s="366">
        <f t="shared" si="3"/>
        <v>0.5165304615384616</v>
      </c>
    </row>
    <row r="38" spans="1:8" s="354" customFormat="1" ht="17.25" customHeight="1">
      <c r="A38" s="350"/>
      <c r="B38" s="351" t="s">
        <v>370</v>
      </c>
      <c r="C38" s="355">
        <v>25000</v>
      </c>
      <c r="D38" s="355">
        <v>40000</v>
      </c>
      <c r="E38" s="355"/>
      <c r="F38" s="353">
        <f t="shared" si="2"/>
        <v>65000</v>
      </c>
      <c r="G38" s="375">
        <v>33574.48</v>
      </c>
      <c r="H38" s="366">
        <f t="shared" si="3"/>
        <v>0.5165304615384616</v>
      </c>
    </row>
    <row r="39" spans="1:8" s="341" customFormat="1" ht="17.25" customHeight="1">
      <c r="A39" s="342" t="s">
        <v>371</v>
      </c>
      <c r="B39" s="343" t="s">
        <v>372</v>
      </c>
      <c r="C39" s="344">
        <v>0</v>
      </c>
      <c r="D39" s="344">
        <v>65910</v>
      </c>
      <c r="E39" s="344"/>
      <c r="F39" s="344">
        <f t="shared" si="2"/>
        <v>65910</v>
      </c>
      <c r="G39" s="364"/>
      <c r="H39" s="360">
        <f t="shared" si="3"/>
        <v>0</v>
      </c>
    </row>
    <row r="41" spans="1:2" ht="12.75">
      <c r="A41" t="s">
        <v>389</v>
      </c>
      <c r="B41" t="s">
        <v>392</v>
      </c>
    </row>
    <row r="42" spans="1:2" ht="12.75">
      <c r="A42" t="s">
        <v>390</v>
      </c>
      <c r="B42" t="s">
        <v>391</v>
      </c>
    </row>
  </sheetData>
  <mergeCells count="3">
    <mergeCell ref="A23:H23"/>
    <mergeCell ref="A6:H6"/>
    <mergeCell ref="A8:H8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Piękoś</cp:lastModifiedBy>
  <cp:lastPrinted>2007-08-23T09:16:49Z</cp:lastPrinted>
  <dcterms:created xsi:type="dcterms:W3CDTF">2007-01-12T11:10:09Z</dcterms:created>
  <dcterms:modified xsi:type="dcterms:W3CDTF">2007-08-29T10:21:14Z</dcterms:modified>
  <cp:category/>
  <cp:version/>
  <cp:contentType/>
  <cp:contentStatus/>
</cp:coreProperties>
</file>